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2"/>
  <workbookPr/>
  <mc:AlternateContent xmlns:mc="http://schemas.openxmlformats.org/markup-compatibility/2006">
    <mc:Choice Requires="x15">
      <x15ac:absPath xmlns:x15ac="http://schemas.microsoft.com/office/spreadsheetml/2010/11/ac" url="/Users/piotrjabkowski/Desktop/7383-Research Instrument-23485-1-2-20181023/Nowe skrypty/"/>
    </mc:Choice>
  </mc:AlternateContent>
  <xr:revisionPtr revIDLastSave="0" documentId="13_ncr:1_{8A060276-51D4-3147-A4F2-F144C7AD56D5}" xr6:coauthVersionLast="44" xr6:coauthVersionMax="44" xr10:uidLastSave="{00000000-0000-0000-0000-000000000000}"/>
  <bookViews>
    <workbookView xWindow="0" yWindow="460" windowWidth="25400" windowHeight="15460" tabRatio="500" xr2:uid="{00000000-000D-0000-FFFF-FFFF00000000}"/>
  </bookViews>
  <sheets>
    <sheet name="OES" sheetId="6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6" l="1"/>
  <c r="O106" i="6"/>
  <c r="J3" i="6"/>
  <c r="P106" i="6"/>
  <c r="V106" i="6" s="1"/>
  <c r="I4" i="6"/>
  <c r="O107" i="6"/>
  <c r="J4" i="6"/>
  <c r="P107" i="6"/>
  <c r="Q107" i="6" s="1"/>
  <c r="R107" i="6" s="1"/>
  <c r="S107" i="6" s="1"/>
  <c r="I5" i="6"/>
  <c r="O108" i="6" s="1"/>
  <c r="J5" i="6"/>
  <c r="P108" i="6" s="1"/>
  <c r="Q108" i="6" s="1"/>
  <c r="R108" i="6" s="1"/>
  <c r="U108" i="6" s="1"/>
  <c r="I6" i="6"/>
  <c r="O109" i="6"/>
  <c r="J6" i="6"/>
  <c r="P109" i="6"/>
  <c r="Q109" i="6" s="1"/>
  <c r="R109" i="6" s="1"/>
  <c r="I7" i="6"/>
  <c r="O110" i="6" s="1"/>
  <c r="J7" i="6"/>
  <c r="P110" i="6" s="1"/>
  <c r="Q110" i="6" s="1"/>
  <c r="R110" i="6" s="1"/>
  <c r="I16" i="6"/>
  <c r="O111" i="6"/>
  <c r="J16" i="6"/>
  <c r="P111" i="6"/>
  <c r="Q111" i="6" s="1"/>
  <c r="R111" i="6" s="1"/>
  <c r="S111" i="6" s="1"/>
  <c r="I17" i="6"/>
  <c r="O112" i="6" s="1"/>
  <c r="J17" i="6"/>
  <c r="P112" i="6" s="1"/>
  <c r="Q112" i="6" s="1"/>
  <c r="R112" i="6" s="1"/>
  <c r="U112" i="6" s="1"/>
  <c r="I18" i="6"/>
  <c r="O113" i="6"/>
  <c r="J18" i="6"/>
  <c r="P113" i="6"/>
  <c r="Q113" i="6" s="1"/>
  <c r="R113" i="6" s="1"/>
  <c r="I19" i="6"/>
  <c r="O114" i="6" s="1"/>
  <c r="J19" i="6"/>
  <c r="P114" i="6" s="1"/>
  <c r="Q114" i="6" s="1"/>
  <c r="R114" i="6" s="1"/>
  <c r="I20" i="6"/>
  <c r="O115" i="6"/>
  <c r="J20" i="6"/>
  <c r="P115" i="6"/>
  <c r="Q115" i="6" s="1"/>
  <c r="R115" i="6" s="1"/>
  <c r="S115" i="6" s="1"/>
  <c r="I23" i="6"/>
  <c r="O116" i="6" s="1"/>
  <c r="J23" i="6"/>
  <c r="P116" i="6" s="1"/>
  <c r="Q116" i="6" s="1"/>
  <c r="R116" i="6" s="1"/>
  <c r="U116" i="6" s="1"/>
  <c r="I24" i="6"/>
  <c r="O117" i="6"/>
  <c r="J24" i="6"/>
  <c r="P117" i="6"/>
  <c r="Q117" i="6" s="1"/>
  <c r="R117" i="6" s="1"/>
  <c r="I25" i="6"/>
  <c r="O118" i="6" s="1"/>
  <c r="J25" i="6"/>
  <c r="P118" i="6" s="1"/>
  <c r="Q118" i="6" s="1"/>
  <c r="R118" i="6" s="1"/>
  <c r="I26" i="6"/>
  <c r="O119" i="6"/>
  <c r="J26" i="6"/>
  <c r="P119" i="6"/>
  <c r="Q119" i="6" s="1"/>
  <c r="R119" i="6" s="1"/>
  <c r="S119" i="6" s="1"/>
  <c r="I27" i="6"/>
  <c r="O120" i="6" s="1"/>
  <c r="J27" i="6"/>
  <c r="P120" i="6" s="1"/>
  <c r="Q120" i="6" s="1"/>
  <c r="R120" i="6" s="1"/>
  <c r="U120" i="6" s="1"/>
  <c r="I28" i="6"/>
  <c r="O121" i="6"/>
  <c r="J28" i="6"/>
  <c r="P121" i="6"/>
  <c r="Q121" i="6" s="1"/>
  <c r="R121" i="6" s="1"/>
  <c r="I49" i="6"/>
  <c r="O122" i="6" s="1"/>
  <c r="J49" i="6"/>
  <c r="P122" i="6" s="1"/>
  <c r="Q122" i="6" s="1"/>
  <c r="R122" i="6" s="1"/>
  <c r="I63" i="6"/>
  <c r="O123" i="6"/>
  <c r="J63" i="6"/>
  <c r="P123" i="6"/>
  <c r="Q123" i="6" s="1"/>
  <c r="R123" i="6" s="1"/>
  <c r="S123" i="6" s="1"/>
  <c r="I64" i="6"/>
  <c r="O124" i="6" s="1"/>
  <c r="J64" i="6"/>
  <c r="P124" i="6" s="1"/>
  <c r="Q124" i="6" s="1"/>
  <c r="R124" i="6" s="1"/>
  <c r="U124" i="6" s="1"/>
  <c r="I65" i="6"/>
  <c r="O125" i="6"/>
  <c r="J65" i="6"/>
  <c r="P125" i="6"/>
  <c r="Q125" i="6" s="1"/>
  <c r="R125" i="6" s="1"/>
  <c r="I66" i="6"/>
  <c r="O126" i="6" s="1"/>
  <c r="J66" i="6"/>
  <c r="P126" i="6" s="1"/>
  <c r="Q126" i="6" s="1"/>
  <c r="R126" i="6" s="1"/>
  <c r="I67" i="6"/>
  <c r="O127" i="6"/>
  <c r="J67" i="6"/>
  <c r="P127" i="6"/>
  <c r="Q127" i="6" s="1"/>
  <c r="R127" i="6" s="1"/>
  <c r="S127" i="6" s="1"/>
  <c r="I68" i="6"/>
  <c r="O128" i="6" s="1"/>
  <c r="J68" i="6"/>
  <c r="P128" i="6" s="1"/>
  <c r="Q128" i="6" s="1"/>
  <c r="R128" i="6" s="1"/>
  <c r="U128" i="6" s="1"/>
  <c r="I69" i="6"/>
  <c r="O129" i="6"/>
  <c r="J69" i="6"/>
  <c r="P129" i="6"/>
  <c r="Q129" i="6" s="1"/>
  <c r="R129" i="6" s="1"/>
  <c r="I70" i="6"/>
  <c r="O130" i="6" s="1"/>
  <c r="J70" i="6"/>
  <c r="P130" i="6" s="1"/>
  <c r="Q130" i="6" s="1"/>
  <c r="R130" i="6" s="1"/>
  <c r="I71" i="6"/>
  <c r="O131" i="6"/>
  <c r="J71" i="6"/>
  <c r="P131" i="6"/>
  <c r="Q131" i="6" s="1"/>
  <c r="R131" i="6" s="1"/>
  <c r="S131" i="6" s="1"/>
  <c r="I72" i="6"/>
  <c r="O132" i="6" s="1"/>
  <c r="J72" i="6"/>
  <c r="P132" i="6" s="1"/>
  <c r="Q132" i="6" s="1"/>
  <c r="R132" i="6" s="1"/>
  <c r="U132" i="6" s="1"/>
  <c r="I73" i="6"/>
  <c r="O133" i="6"/>
  <c r="J73" i="6"/>
  <c r="P133" i="6"/>
  <c r="Q133" i="6" s="1"/>
  <c r="R133" i="6" s="1"/>
  <c r="I74" i="6"/>
  <c r="O134" i="6" s="1"/>
  <c r="J74" i="6"/>
  <c r="P134" i="6" s="1"/>
  <c r="Q134" i="6" s="1"/>
  <c r="R134" i="6" s="1"/>
  <c r="I75" i="6"/>
  <c r="O135" i="6"/>
  <c r="J75" i="6"/>
  <c r="P135" i="6"/>
  <c r="Q135" i="6" s="1"/>
  <c r="R135" i="6" s="1"/>
  <c r="S135" i="6" s="1"/>
  <c r="I76" i="6"/>
  <c r="O136" i="6" s="1"/>
  <c r="J76" i="6"/>
  <c r="P136" i="6" s="1"/>
  <c r="Q136" i="6" s="1"/>
  <c r="R136" i="6" s="1"/>
  <c r="U136" i="6" s="1"/>
  <c r="I79" i="6"/>
  <c r="O137" i="6"/>
  <c r="J79" i="6"/>
  <c r="P137" i="6"/>
  <c r="Q137" i="6" s="1"/>
  <c r="R137" i="6" s="1"/>
  <c r="I84" i="6"/>
  <c r="O138" i="6" s="1"/>
  <c r="J84" i="6"/>
  <c r="P138" i="6" s="1"/>
  <c r="Q138" i="6" s="1"/>
  <c r="R138" i="6" s="1"/>
  <c r="I85" i="6"/>
  <c r="O139" i="6"/>
  <c r="J85" i="6"/>
  <c r="P139" i="6"/>
  <c r="Q139" i="6" s="1"/>
  <c r="R139" i="6" s="1"/>
  <c r="S139" i="6" s="1"/>
  <c r="I86" i="6"/>
  <c r="O140" i="6" s="1"/>
  <c r="J86" i="6"/>
  <c r="P140" i="6" s="1"/>
  <c r="Q140" i="6" s="1"/>
  <c r="R140" i="6" s="1"/>
  <c r="U140" i="6" s="1"/>
  <c r="I87" i="6"/>
  <c r="O141" i="6"/>
  <c r="J87" i="6"/>
  <c r="P141" i="6"/>
  <c r="Q141" i="6" s="1"/>
  <c r="R141" i="6" s="1"/>
  <c r="I88" i="6"/>
  <c r="O142" i="6" s="1"/>
  <c r="J88" i="6"/>
  <c r="P142" i="6" s="1"/>
  <c r="Q142" i="6" s="1"/>
  <c r="R142" i="6" s="1"/>
  <c r="I89" i="6"/>
  <c r="O143" i="6"/>
  <c r="J89" i="6"/>
  <c r="P143" i="6"/>
  <c r="Q143" i="6" s="1"/>
  <c r="R143" i="6" s="1"/>
  <c r="S143" i="6" s="1"/>
  <c r="I90" i="6"/>
  <c r="O144" i="6" s="1"/>
  <c r="J90" i="6"/>
  <c r="P144" i="6" s="1"/>
  <c r="Q144" i="6" s="1"/>
  <c r="R144" i="6" s="1"/>
  <c r="U144" i="6" s="1"/>
  <c r="I91" i="6"/>
  <c r="O145" i="6"/>
  <c r="J91" i="6"/>
  <c r="P145" i="6"/>
  <c r="Q145" i="6" s="1"/>
  <c r="R145" i="6" s="1"/>
  <c r="I92" i="6"/>
  <c r="O146" i="6" s="1"/>
  <c r="J92" i="6"/>
  <c r="P146" i="6" s="1"/>
  <c r="Q146" i="6" s="1"/>
  <c r="R146" i="6" s="1"/>
  <c r="I93" i="6"/>
  <c r="O147" i="6"/>
  <c r="J93" i="6"/>
  <c r="P147" i="6"/>
  <c r="Q147" i="6" s="1"/>
  <c r="R147" i="6" s="1"/>
  <c r="S147" i="6" s="1"/>
  <c r="I94" i="6"/>
  <c r="O148" i="6" s="1"/>
  <c r="J94" i="6"/>
  <c r="P148" i="6" s="1"/>
  <c r="Q148" i="6" s="1"/>
  <c r="R148" i="6" s="1"/>
  <c r="U148" i="6" s="1"/>
  <c r="I95" i="6"/>
  <c r="O149" i="6"/>
  <c r="J95" i="6"/>
  <c r="P149" i="6"/>
  <c r="Q149" i="6" s="1"/>
  <c r="R149" i="6" s="1"/>
  <c r="S149" i="6" s="1"/>
  <c r="I96" i="6"/>
  <c r="O150" i="6" s="1"/>
  <c r="J96" i="6"/>
  <c r="P150" i="6" s="1"/>
  <c r="Q150" i="6" s="1"/>
  <c r="R150" i="6" s="1"/>
  <c r="I97" i="6"/>
  <c r="O151" i="6"/>
  <c r="J97" i="6"/>
  <c r="P151" i="6"/>
  <c r="Q151" i="6" s="1"/>
  <c r="R151" i="6" s="1"/>
  <c r="S151" i="6" s="1"/>
  <c r="I112" i="6"/>
  <c r="O152" i="6" s="1"/>
  <c r="J112" i="6"/>
  <c r="P152" i="6" s="1"/>
  <c r="Q152" i="6" s="1"/>
  <c r="R152" i="6" s="1"/>
  <c r="U152" i="6" s="1"/>
  <c r="I113" i="6"/>
  <c r="O153" i="6"/>
  <c r="J113" i="6"/>
  <c r="P153" i="6"/>
  <c r="Q153" i="6" s="1"/>
  <c r="R153" i="6" s="1"/>
  <c r="I114" i="6"/>
  <c r="O154" i="6" s="1"/>
  <c r="J114" i="6"/>
  <c r="P154" i="6" s="1"/>
  <c r="Q154" i="6" s="1"/>
  <c r="R154" i="6" s="1"/>
  <c r="U154" i="6" s="1"/>
  <c r="I115" i="6"/>
  <c r="O155" i="6"/>
  <c r="J115" i="6"/>
  <c r="P155" i="6"/>
  <c r="Q155" i="6" s="1"/>
  <c r="R155" i="6" s="1"/>
  <c r="S155" i="6" s="1"/>
  <c r="I116" i="6"/>
  <c r="O156" i="6" s="1"/>
  <c r="J116" i="6"/>
  <c r="P156" i="6" s="1"/>
  <c r="Q156" i="6" s="1"/>
  <c r="R156" i="6" s="1"/>
  <c r="U156" i="6" s="1"/>
  <c r="I117" i="6"/>
  <c r="O157" i="6"/>
  <c r="J117" i="6"/>
  <c r="P157" i="6"/>
  <c r="Q157" i="6" s="1"/>
  <c r="R157" i="6" s="1"/>
  <c r="S157" i="6" s="1"/>
  <c r="I118" i="6"/>
  <c r="O158" i="6" s="1"/>
  <c r="J118" i="6"/>
  <c r="P158" i="6" s="1"/>
  <c r="Q158" i="6" s="1"/>
  <c r="R158" i="6" s="1"/>
  <c r="S109" i="6"/>
  <c r="S113" i="6"/>
  <c r="S117" i="6"/>
  <c r="S121" i="6"/>
  <c r="S125" i="6"/>
  <c r="S129" i="6"/>
  <c r="S133" i="6"/>
  <c r="S137" i="6"/>
  <c r="S141" i="6"/>
  <c r="S145" i="6"/>
  <c r="S153" i="6"/>
  <c r="U164" i="6"/>
  <c r="U107" i="6"/>
  <c r="U109" i="6"/>
  <c r="U110" i="6"/>
  <c r="U111" i="6"/>
  <c r="U113" i="6"/>
  <c r="U114" i="6"/>
  <c r="U115" i="6"/>
  <c r="U117" i="6"/>
  <c r="U118" i="6"/>
  <c r="U119" i="6"/>
  <c r="U121" i="6"/>
  <c r="U122" i="6"/>
  <c r="U123" i="6"/>
  <c r="U125" i="6"/>
  <c r="U126" i="6"/>
  <c r="U127" i="6"/>
  <c r="U129" i="6"/>
  <c r="U130" i="6"/>
  <c r="U131" i="6"/>
  <c r="U133" i="6"/>
  <c r="U134" i="6"/>
  <c r="U135" i="6"/>
  <c r="U137" i="6"/>
  <c r="U138" i="6"/>
  <c r="U139" i="6"/>
  <c r="U141" i="6"/>
  <c r="U142" i="6"/>
  <c r="U143" i="6"/>
  <c r="U145" i="6"/>
  <c r="U146" i="6"/>
  <c r="U147" i="6"/>
  <c r="U149" i="6"/>
  <c r="U150" i="6"/>
  <c r="U153" i="6"/>
  <c r="U155" i="6"/>
  <c r="U158" i="6"/>
  <c r="V107" i="6"/>
  <c r="V108" i="6"/>
  <c r="V109" i="6"/>
  <c r="V110" i="6"/>
  <c r="V111" i="6"/>
  <c r="V112" i="6"/>
  <c r="V113" i="6"/>
  <c r="V114" i="6"/>
  <c r="V115" i="6"/>
  <c r="V116" i="6"/>
  <c r="V117" i="6"/>
  <c r="V118" i="6"/>
  <c r="V119" i="6"/>
  <c r="V120" i="6"/>
  <c r="V121" i="6"/>
  <c r="V122" i="6"/>
  <c r="V123" i="6"/>
  <c r="V124" i="6"/>
  <c r="V125" i="6"/>
  <c r="V126" i="6"/>
  <c r="V127" i="6"/>
  <c r="V128" i="6"/>
  <c r="V129" i="6"/>
  <c r="V130" i="6"/>
  <c r="V131" i="6"/>
  <c r="V132" i="6"/>
  <c r="V133" i="6"/>
  <c r="V134" i="6"/>
  <c r="V135" i="6"/>
  <c r="V136" i="6"/>
  <c r="V137" i="6"/>
  <c r="V138" i="6"/>
  <c r="V139" i="6"/>
  <c r="V140" i="6"/>
  <c r="V141" i="6"/>
  <c r="V142" i="6"/>
  <c r="V143" i="6"/>
  <c r="V144" i="6"/>
  <c r="V145" i="6"/>
  <c r="V146" i="6"/>
  <c r="V147" i="6"/>
  <c r="V148" i="6"/>
  <c r="V149" i="6"/>
  <c r="V150" i="6"/>
  <c r="V151" i="6"/>
  <c r="V152" i="6"/>
  <c r="V153" i="6"/>
  <c r="V154" i="6"/>
  <c r="V155" i="6"/>
  <c r="V156" i="6"/>
  <c r="V157" i="6"/>
  <c r="V158" i="6"/>
  <c r="H3" i="6"/>
  <c r="H4" i="6"/>
  <c r="H5" i="6"/>
  <c r="H6" i="6"/>
  <c r="H7" i="6"/>
  <c r="I8" i="6"/>
  <c r="H8" i="6"/>
  <c r="I9" i="6"/>
  <c r="H9" i="6"/>
  <c r="I10" i="6"/>
  <c r="H10" i="6"/>
  <c r="I11" i="6"/>
  <c r="H11" i="6"/>
  <c r="I12" i="6"/>
  <c r="H12" i="6"/>
  <c r="I13" i="6"/>
  <c r="H13" i="6"/>
  <c r="I14" i="6"/>
  <c r="H14" i="6"/>
  <c r="I15" i="6"/>
  <c r="H15" i="6"/>
  <c r="H16" i="6"/>
  <c r="H17" i="6"/>
  <c r="H18" i="6"/>
  <c r="H19" i="6"/>
  <c r="H20" i="6"/>
  <c r="I21" i="6"/>
  <c r="H21" i="6" s="1"/>
  <c r="I22" i="6"/>
  <c r="H22" i="6" s="1"/>
  <c r="H23" i="6"/>
  <c r="H24" i="6"/>
  <c r="H25" i="6"/>
  <c r="H26" i="6"/>
  <c r="H27" i="6"/>
  <c r="H28" i="6"/>
  <c r="I29" i="6"/>
  <c r="H29" i="6" s="1"/>
  <c r="I30" i="6"/>
  <c r="H30" i="6" s="1"/>
  <c r="I31" i="6"/>
  <c r="H31" i="6" s="1"/>
  <c r="I32" i="6"/>
  <c r="H32" i="6" s="1"/>
  <c r="I33" i="6"/>
  <c r="H33" i="6" s="1"/>
  <c r="I34" i="6"/>
  <c r="H34" i="6" s="1"/>
  <c r="I35" i="6"/>
  <c r="H35" i="6" s="1"/>
  <c r="I36" i="6"/>
  <c r="H36" i="6" s="1"/>
  <c r="I37" i="6"/>
  <c r="H37" i="6" s="1"/>
  <c r="I38" i="6"/>
  <c r="H38" i="6" s="1"/>
  <c r="I39" i="6"/>
  <c r="H39" i="6" s="1"/>
  <c r="I40" i="6"/>
  <c r="H40" i="6" s="1"/>
  <c r="I41" i="6"/>
  <c r="H41" i="6" s="1"/>
  <c r="I42" i="6"/>
  <c r="H42" i="6" s="1"/>
  <c r="I43" i="6"/>
  <c r="H43" i="6" s="1"/>
  <c r="I44" i="6"/>
  <c r="H44" i="6" s="1"/>
  <c r="I45" i="6"/>
  <c r="H45" i="6" s="1"/>
  <c r="I46" i="6"/>
  <c r="H46" i="6" s="1"/>
  <c r="I47" i="6"/>
  <c r="H47" i="6" s="1"/>
  <c r="I48" i="6"/>
  <c r="H48" i="6" s="1"/>
  <c r="H49" i="6"/>
  <c r="I50" i="6"/>
  <c r="H50" i="6"/>
  <c r="I51" i="6"/>
  <c r="H51" i="6"/>
  <c r="I52" i="6"/>
  <c r="H52" i="6"/>
  <c r="I53" i="6"/>
  <c r="H53" i="6"/>
  <c r="I54" i="6"/>
  <c r="H54" i="6"/>
  <c r="I55" i="6"/>
  <c r="H55" i="6"/>
  <c r="I56" i="6"/>
  <c r="H56" i="6"/>
  <c r="I57" i="6"/>
  <c r="H57" i="6"/>
  <c r="I58" i="6"/>
  <c r="H58" i="6"/>
  <c r="I59" i="6"/>
  <c r="H59" i="6"/>
  <c r="I60" i="6"/>
  <c r="H60" i="6"/>
  <c r="I61" i="6"/>
  <c r="H61" i="6"/>
  <c r="I62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I77" i="6"/>
  <c r="H77" i="6"/>
  <c r="I78" i="6"/>
  <c r="H78" i="6"/>
  <c r="H79" i="6"/>
  <c r="I80" i="6"/>
  <c r="H80" i="6" s="1"/>
  <c r="I81" i="6"/>
  <c r="H81" i="6" s="1"/>
  <c r="I82" i="6"/>
  <c r="H82" i="6" s="1"/>
  <c r="I83" i="6"/>
  <c r="H83" i="6" s="1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I98" i="6"/>
  <c r="H98" i="6" s="1"/>
  <c r="I99" i="6"/>
  <c r="H99" i="6" s="1"/>
  <c r="I100" i="6"/>
  <c r="H100" i="6" s="1"/>
  <c r="I101" i="6"/>
  <c r="H101" i="6" s="1"/>
  <c r="I102" i="6"/>
  <c r="H102" i="6" s="1"/>
  <c r="I103" i="6"/>
  <c r="H103" i="6" s="1"/>
  <c r="I104" i="6"/>
  <c r="H104" i="6" s="1"/>
  <c r="I105" i="6"/>
  <c r="H105" i="6" s="1"/>
  <c r="I106" i="6"/>
  <c r="H106" i="6" s="1"/>
  <c r="I107" i="6"/>
  <c r="H107" i="6" s="1"/>
  <c r="I108" i="6"/>
  <c r="H108" i="6" s="1"/>
  <c r="I109" i="6"/>
  <c r="H109" i="6" s="1"/>
  <c r="I110" i="6"/>
  <c r="H110" i="6" s="1"/>
  <c r="I111" i="6"/>
  <c r="H111" i="6" s="1"/>
  <c r="H112" i="6"/>
  <c r="H113" i="6"/>
  <c r="H114" i="6"/>
  <c r="H115" i="6"/>
  <c r="H116" i="6"/>
  <c r="H117" i="6"/>
  <c r="H118" i="6"/>
  <c r="I119" i="6"/>
  <c r="H119" i="6"/>
  <c r="I120" i="6"/>
  <c r="H120" i="6"/>
  <c r="I121" i="6"/>
  <c r="H121" i="6"/>
  <c r="I122" i="6"/>
  <c r="H122" i="6"/>
  <c r="I123" i="6"/>
  <c r="H123" i="6"/>
  <c r="I124" i="6"/>
  <c r="H124" i="6"/>
  <c r="I125" i="6"/>
  <c r="H125" i="6"/>
  <c r="I126" i="6"/>
  <c r="H126" i="6"/>
  <c r="I127" i="6"/>
  <c r="H127" i="6"/>
  <c r="I128" i="6"/>
  <c r="H128" i="6"/>
  <c r="I129" i="6"/>
  <c r="H129" i="6"/>
  <c r="I130" i="6"/>
  <c r="H130" i="6"/>
  <c r="I131" i="6"/>
  <c r="H131" i="6"/>
  <c r="I132" i="6"/>
  <c r="H132" i="6"/>
  <c r="O70" i="6"/>
  <c r="J121" i="6"/>
  <c r="P70" i="6" s="1"/>
  <c r="V70" i="6" s="1"/>
  <c r="O5" i="6"/>
  <c r="J9" i="6"/>
  <c r="J8" i="6"/>
  <c r="P5" i="6" s="1"/>
  <c r="Q5" i="6" s="1"/>
  <c r="R5" i="6" s="1"/>
  <c r="T5" i="6" s="1"/>
  <c r="O6" i="6"/>
  <c r="J10" i="6"/>
  <c r="P7" i="6" s="1"/>
  <c r="Q7" i="6" s="1"/>
  <c r="R7" i="6" s="1"/>
  <c r="T7" i="6" s="1"/>
  <c r="P6" i="6"/>
  <c r="Q6" i="6"/>
  <c r="R6" i="6" s="1"/>
  <c r="T6" i="6" s="1"/>
  <c r="O7" i="6"/>
  <c r="J11" i="6"/>
  <c r="P8" i="6" s="1"/>
  <c r="Q8" i="6" s="1"/>
  <c r="R8" i="6" s="1"/>
  <c r="T8" i="6" s="1"/>
  <c r="O8" i="6"/>
  <c r="J12" i="6"/>
  <c r="P9" i="6" s="1"/>
  <c r="Q9" i="6" s="1"/>
  <c r="R9" i="6" s="1"/>
  <c r="T9" i="6" s="1"/>
  <c r="O9" i="6"/>
  <c r="J13" i="6"/>
  <c r="P10" i="6" s="1"/>
  <c r="Q10" i="6" s="1"/>
  <c r="R10" i="6" s="1"/>
  <c r="T10" i="6" s="1"/>
  <c r="O10" i="6"/>
  <c r="J14" i="6"/>
  <c r="P11" i="6" s="1"/>
  <c r="Q11" i="6" s="1"/>
  <c r="R11" i="6" s="1"/>
  <c r="T11" i="6" s="1"/>
  <c r="O11" i="6"/>
  <c r="J15" i="6"/>
  <c r="P12" i="6" s="1"/>
  <c r="Q12" i="6" s="1"/>
  <c r="R12" i="6" s="1"/>
  <c r="T12" i="6" s="1"/>
  <c r="O12" i="6"/>
  <c r="J21" i="6"/>
  <c r="P13" i="6" s="1"/>
  <c r="Q13" i="6" s="1"/>
  <c r="R13" i="6" s="1"/>
  <c r="T13" i="6" s="1"/>
  <c r="O13" i="6"/>
  <c r="J22" i="6"/>
  <c r="P14" i="6" s="1"/>
  <c r="Q14" i="6" s="1"/>
  <c r="R14" i="6" s="1"/>
  <c r="T14" i="6" s="1"/>
  <c r="O14" i="6"/>
  <c r="J29" i="6"/>
  <c r="O15" i="6"/>
  <c r="T15" i="6" s="1"/>
  <c r="J30" i="6"/>
  <c r="P15" i="6"/>
  <c r="Q15" i="6" s="1"/>
  <c r="R15" i="6" s="1"/>
  <c r="O16" i="6"/>
  <c r="T16" i="6" s="1"/>
  <c r="J31" i="6"/>
  <c r="P16" i="6"/>
  <c r="Q16" i="6" s="1"/>
  <c r="R16" i="6" s="1"/>
  <c r="O17" i="6"/>
  <c r="J32" i="6"/>
  <c r="P17" i="6"/>
  <c r="Q17" i="6" s="1"/>
  <c r="R17" i="6" s="1"/>
  <c r="O18" i="6"/>
  <c r="J33" i="6"/>
  <c r="P18" i="6"/>
  <c r="Q18" i="6" s="1"/>
  <c r="R18" i="6" s="1"/>
  <c r="O19" i="6"/>
  <c r="T19" i="6" s="1"/>
  <c r="J34" i="6"/>
  <c r="P19" i="6"/>
  <c r="Q19" i="6" s="1"/>
  <c r="R19" i="6" s="1"/>
  <c r="O20" i="6"/>
  <c r="T20" i="6" s="1"/>
  <c r="J35" i="6"/>
  <c r="P20" i="6"/>
  <c r="Q20" i="6" s="1"/>
  <c r="R20" i="6" s="1"/>
  <c r="O21" i="6"/>
  <c r="J36" i="6"/>
  <c r="P21" i="6"/>
  <c r="Q21" i="6" s="1"/>
  <c r="R21" i="6" s="1"/>
  <c r="O22" i="6"/>
  <c r="J37" i="6"/>
  <c r="P22" i="6"/>
  <c r="Q22" i="6" s="1"/>
  <c r="R22" i="6" s="1"/>
  <c r="O23" i="6"/>
  <c r="T23" i="6" s="1"/>
  <c r="J38" i="6"/>
  <c r="P23" i="6"/>
  <c r="Q23" i="6" s="1"/>
  <c r="R23" i="6" s="1"/>
  <c r="O24" i="6"/>
  <c r="T24" i="6" s="1"/>
  <c r="J39" i="6"/>
  <c r="P24" i="6"/>
  <c r="Q24" i="6" s="1"/>
  <c r="R24" i="6" s="1"/>
  <c r="O25" i="6"/>
  <c r="J40" i="6"/>
  <c r="P25" i="6"/>
  <c r="Q25" i="6" s="1"/>
  <c r="R25" i="6" s="1"/>
  <c r="O26" i="6"/>
  <c r="J41" i="6"/>
  <c r="P26" i="6"/>
  <c r="Q26" i="6" s="1"/>
  <c r="R26" i="6" s="1"/>
  <c r="O27" i="6"/>
  <c r="T27" i="6" s="1"/>
  <c r="J42" i="6"/>
  <c r="P27" i="6"/>
  <c r="Q27" i="6" s="1"/>
  <c r="R27" i="6" s="1"/>
  <c r="O28" i="6"/>
  <c r="T28" i="6" s="1"/>
  <c r="J43" i="6"/>
  <c r="P28" i="6"/>
  <c r="Q28" i="6" s="1"/>
  <c r="R28" i="6" s="1"/>
  <c r="O29" i="6"/>
  <c r="J44" i="6"/>
  <c r="P29" i="6"/>
  <c r="Q29" i="6" s="1"/>
  <c r="R29" i="6" s="1"/>
  <c r="O30" i="6"/>
  <c r="J45" i="6"/>
  <c r="P30" i="6"/>
  <c r="Q30" i="6" s="1"/>
  <c r="R30" i="6" s="1"/>
  <c r="O31" i="6"/>
  <c r="T31" i="6" s="1"/>
  <c r="J46" i="6"/>
  <c r="P31" i="6"/>
  <c r="Q31" i="6" s="1"/>
  <c r="R31" i="6" s="1"/>
  <c r="O32" i="6"/>
  <c r="T32" i="6" s="1"/>
  <c r="J47" i="6"/>
  <c r="P32" i="6"/>
  <c r="Q32" i="6" s="1"/>
  <c r="R32" i="6" s="1"/>
  <c r="O33" i="6"/>
  <c r="J48" i="6"/>
  <c r="P33" i="6"/>
  <c r="Q33" i="6" s="1"/>
  <c r="R33" i="6" s="1"/>
  <c r="O34" i="6"/>
  <c r="J50" i="6"/>
  <c r="P34" i="6"/>
  <c r="Q34" i="6" s="1"/>
  <c r="R34" i="6" s="1"/>
  <c r="O35" i="6"/>
  <c r="T35" i="6" s="1"/>
  <c r="J51" i="6"/>
  <c r="P35" i="6"/>
  <c r="Q35" i="6" s="1"/>
  <c r="R35" i="6" s="1"/>
  <c r="O36" i="6"/>
  <c r="T36" i="6" s="1"/>
  <c r="J52" i="6"/>
  <c r="P36" i="6"/>
  <c r="Q36" i="6" s="1"/>
  <c r="R36" i="6" s="1"/>
  <c r="O37" i="6"/>
  <c r="J53" i="6"/>
  <c r="P37" i="6"/>
  <c r="Q37" i="6" s="1"/>
  <c r="R37" i="6" s="1"/>
  <c r="O38" i="6"/>
  <c r="J54" i="6"/>
  <c r="P38" i="6"/>
  <c r="Q38" i="6" s="1"/>
  <c r="R38" i="6" s="1"/>
  <c r="O39" i="6"/>
  <c r="T39" i="6" s="1"/>
  <c r="J55" i="6"/>
  <c r="P39" i="6"/>
  <c r="Q39" i="6" s="1"/>
  <c r="R39" i="6" s="1"/>
  <c r="O40" i="6"/>
  <c r="T40" i="6" s="1"/>
  <c r="J56" i="6"/>
  <c r="P40" i="6"/>
  <c r="Q40" i="6" s="1"/>
  <c r="R40" i="6" s="1"/>
  <c r="O41" i="6"/>
  <c r="J57" i="6"/>
  <c r="P41" i="6"/>
  <c r="Q41" i="6" s="1"/>
  <c r="R41" i="6" s="1"/>
  <c r="O42" i="6"/>
  <c r="J58" i="6"/>
  <c r="P42" i="6"/>
  <c r="Q42" i="6" s="1"/>
  <c r="R42" i="6" s="1"/>
  <c r="O43" i="6"/>
  <c r="T43" i="6" s="1"/>
  <c r="J59" i="6"/>
  <c r="P43" i="6"/>
  <c r="Q43" i="6" s="1"/>
  <c r="R43" i="6" s="1"/>
  <c r="O44" i="6"/>
  <c r="T44" i="6" s="1"/>
  <c r="J60" i="6"/>
  <c r="P44" i="6"/>
  <c r="Q44" i="6" s="1"/>
  <c r="R44" i="6" s="1"/>
  <c r="O45" i="6"/>
  <c r="J61" i="6"/>
  <c r="P45" i="6"/>
  <c r="Q45" i="6" s="1"/>
  <c r="R45" i="6" s="1"/>
  <c r="O46" i="6"/>
  <c r="J62" i="6"/>
  <c r="P46" i="6"/>
  <c r="Q46" i="6" s="1"/>
  <c r="R46" i="6" s="1"/>
  <c r="O47" i="6"/>
  <c r="T47" i="6" s="1"/>
  <c r="J77" i="6"/>
  <c r="P47" i="6"/>
  <c r="Q47" i="6" s="1"/>
  <c r="R47" i="6" s="1"/>
  <c r="O48" i="6"/>
  <c r="T48" i="6" s="1"/>
  <c r="J78" i="6"/>
  <c r="P48" i="6"/>
  <c r="Q48" i="6" s="1"/>
  <c r="R48" i="6" s="1"/>
  <c r="O49" i="6"/>
  <c r="J80" i="6"/>
  <c r="P49" i="6"/>
  <c r="Q49" i="6" s="1"/>
  <c r="R49" i="6"/>
  <c r="O50" i="6"/>
  <c r="J81" i="6"/>
  <c r="P50" i="6"/>
  <c r="Q50" i="6" s="1"/>
  <c r="R50" i="6" s="1"/>
  <c r="O51" i="6"/>
  <c r="J82" i="6"/>
  <c r="P51" i="6"/>
  <c r="Q51" i="6" s="1"/>
  <c r="R51" i="6" s="1"/>
  <c r="O52" i="6"/>
  <c r="J83" i="6"/>
  <c r="P52" i="6"/>
  <c r="Q52" i="6" s="1"/>
  <c r="R52" i="6" s="1"/>
  <c r="O53" i="6"/>
  <c r="J98" i="6"/>
  <c r="P53" i="6"/>
  <c r="Q53" i="6" s="1"/>
  <c r="R53" i="6" s="1"/>
  <c r="O54" i="6"/>
  <c r="J99" i="6"/>
  <c r="P54" i="6"/>
  <c r="Q54" i="6" s="1"/>
  <c r="R54" i="6" s="1"/>
  <c r="O55" i="6"/>
  <c r="J100" i="6"/>
  <c r="P55" i="6"/>
  <c r="Q55" i="6" s="1"/>
  <c r="R55" i="6" s="1"/>
  <c r="O56" i="6"/>
  <c r="J101" i="6"/>
  <c r="P56" i="6"/>
  <c r="Q56" i="6" s="1"/>
  <c r="R56" i="6" s="1"/>
  <c r="O57" i="6"/>
  <c r="J102" i="6"/>
  <c r="P57" i="6"/>
  <c r="Q57" i="6" s="1"/>
  <c r="R57" i="6" s="1"/>
  <c r="O58" i="6"/>
  <c r="J103" i="6"/>
  <c r="P58" i="6"/>
  <c r="Q58" i="6" s="1"/>
  <c r="R58" i="6" s="1"/>
  <c r="O59" i="6"/>
  <c r="J104" i="6"/>
  <c r="P59" i="6"/>
  <c r="Q59" i="6" s="1"/>
  <c r="R59" i="6" s="1"/>
  <c r="O60" i="6"/>
  <c r="J105" i="6"/>
  <c r="P60" i="6"/>
  <c r="Q60" i="6" s="1"/>
  <c r="R60" i="6" s="1"/>
  <c r="O61" i="6"/>
  <c r="J106" i="6"/>
  <c r="P61" i="6"/>
  <c r="Q61" i="6" s="1"/>
  <c r="R61" i="6" s="1"/>
  <c r="O62" i="6"/>
  <c r="S62" i="6" s="1"/>
  <c r="J107" i="6"/>
  <c r="P62" i="6"/>
  <c r="Q62" i="6" s="1"/>
  <c r="R62" i="6" s="1"/>
  <c r="U62" i="6" s="1"/>
  <c r="O63" i="6"/>
  <c r="J108" i="6"/>
  <c r="P63" i="6"/>
  <c r="Q63" i="6" s="1"/>
  <c r="R63" i="6" s="1"/>
  <c r="O64" i="6"/>
  <c r="J109" i="6"/>
  <c r="P64" i="6"/>
  <c r="Q64" i="6" s="1"/>
  <c r="R64" i="6" s="1"/>
  <c r="U64" i="6" s="1"/>
  <c r="O65" i="6"/>
  <c r="J110" i="6"/>
  <c r="P65" i="6"/>
  <c r="Q65" i="6" s="1"/>
  <c r="R65" i="6" s="1"/>
  <c r="O66" i="6"/>
  <c r="S66" i="6" s="1"/>
  <c r="J111" i="6"/>
  <c r="P66" i="6"/>
  <c r="Q66" i="6" s="1"/>
  <c r="R66" i="6" s="1"/>
  <c r="U66" i="6" s="1"/>
  <c r="O67" i="6"/>
  <c r="J119" i="6"/>
  <c r="P67" i="6"/>
  <c r="Q67" i="6" s="1"/>
  <c r="R67" i="6" s="1"/>
  <c r="O68" i="6"/>
  <c r="J120" i="6"/>
  <c r="P68" i="6"/>
  <c r="Q68" i="6" s="1"/>
  <c r="R68" i="6" s="1"/>
  <c r="U68" i="6" s="1"/>
  <c r="O69" i="6"/>
  <c r="T69" i="6" s="1"/>
  <c r="P69" i="6"/>
  <c r="Q69" i="6"/>
  <c r="R69" i="6" s="1"/>
  <c r="U69" i="6" s="1"/>
  <c r="O71" i="6"/>
  <c r="J122" i="6"/>
  <c r="P71" i="6" s="1"/>
  <c r="Q71" i="6"/>
  <c r="R71" i="6" s="1"/>
  <c r="T71" i="6" s="1"/>
  <c r="O72" i="6"/>
  <c r="J123" i="6"/>
  <c r="P72" i="6" s="1"/>
  <c r="Q72" i="6"/>
  <c r="R72" i="6" s="1"/>
  <c r="T72" i="6" s="1"/>
  <c r="O73" i="6"/>
  <c r="J124" i="6"/>
  <c r="P73" i="6" s="1"/>
  <c r="Q73" i="6"/>
  <c r="R73" i="6" s="1"/>
  <c r="T73" i="6" s="1"/>
  <c r="O74" i="6"/>
  <c r="J125" i="6"/>
  <c r="P74" i="6" s="1"/>
  <c r="Q74" i="6"/>
  <c r="R74" i="6" s="1"/>
  <c r="T74" i="6" s="1"/>
  <c r="O75" i="6"/>
  <c r="J126" i="6"/>
  <c r="P75" i="6" s="1"/>
  <c r="Q75" i="6"/>
  <c r="R75" i="6" s="1"/>
  <c r="T75" i="6" s="1"/>
  <c r="O76" i="6"/>
  <c r="J127" i="6"/>
  <c r="P76" i="6" s="1"/>
  <c r="Q76" i="6"/>
  <c r="R76" i="6" s="1"/>
  <c r="T76" i="6" s="1"/>
  <c r="O77" i="6"/>
  <c r="J128" i="6"/>
  <c r="P77" i="6" s="1"/>
  <c r="Q77" i="6"/>
  <c r="R77" i="6" s="1"/>
  <c r="T77" i="6" s="1"/>
  <c r="O78" i="6"/>
  <c r="J129" i="6"/>
  <c r="P78" i="6" s="1"/>
  <c r="Q78" i="6"/>
  <c r="R78" i="6" s="1"/>
  <c r="T78" i="6" s="1"/>
  <c r="O79" i="6"/>
  <c r="J130" i="6"/>
  <c r="P79" i="6" s="1"/>
  <c r="Q79" i="6"/>
  <c r="R79" i="6" s="1"/>
  <c r="O80" i="6"/>
  <c r="J131" i="6"/>
  <c r="P80" i="6" s="1"/>
  <c r="Q80" i="6" s="1"/>
  <c r="R80" i="6" s="1"/>
  <c r="O81" i="6"/>
  <c r="S81" i="6" s="1"/>
  <c r="J132" i="6"/>
  <c r="P81" i="6" s="1"/>
  <c r="Q81" i="6"/>
  <c r="R81" i="6" s="1"/>
  <c r="S5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69" i="6"/>
  <c r="S72" i="6"/>
  <c r="S74" i="6"/>
  <c r="S76" i="6"/>
  <c r="S78" i="6"/>
  <c r="U87" i="6"/>
  <c r="U5" i="6"/>
  <c r="U6" i="6"/>
  <c r="U7" i="6"/>
  <c r="U8" i="6"/>
  <c r="U9" i="6"/>
  <c r="U10" i="6"/>
  <c r="U11" i="6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U34" i="6"/>
  <c r="U35" i="6"/>
  <c r="U36" i="6"/>
  <c r="U37" i="6"/>
  <c r="U38" i="6"/>
  <c r="U39" i="6"/>
  <c r="U40" i="6"/>
  <c r="U41" i="6"/>
  <c r="U42" i="6"/>
  <c r="U43" i="6"/>
  <c r="U44" i="6"/>
  <c r="U45" i="6"/>
  <c r="U46" i="6"/>
  <c r="U47" i="6"/>
  <c r="U48" i="6"/>
  <c r="U49" i="6"/>
  <c r="U50" i="6"/>
  <c r="U71" i="6"/>
  <c r="U73" i="6"/>
  <c r="U75" i="6"/>
  <c r="U77" i="6"/>
  <c r="V5" i="6"/>
  <c r="V6" i="6"/>
  <c r="V7" i="6"/>
  <c r="V8" i="6"/>
  <c r="V9" i="6"/>
  <c r="V10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V34" i="6"/>
  <c r="V35" i="6"/>
  <c r="V36" i="6"/>
  <c r="V37" i="6"/>
  <c r="V38" i="6"/>
  <c r="V39" i="6"/>
  <c r="V40" i="6"/>
  <c r="V41" i="6"/>
  <c r="V42" i="6"/>
  <c r="V43" i="6"/>
  <c r="V44" i="6"/>
  <c r="V45" i="6"/>
  <c r="V46" i="6"/>
  <c r="V47" i="6"/>
  <c r="V48" i="6"/>
  <c r="V49" i="6"/>
  <c r="V50" i="6"/>
  <c r="V51" i="6"/>
  <c r="V52" i="6"/>
  <c r="V53" i="6"/>
  <c r="V54" i="6"/>
  <c r="V55" i="6"/>
  <c r="V56" i="6"/>
  <c r="V57" i="6"/>
  <c r="V58" i="6"/>
  <c r="V59" i="6"/>
  <c r="V60" i="6"/>
  <c r="V61" i="6"/>
  <c r="V62" i="6"/>
  <c r="V63" i="6"/>
  <c r="V64" i="6"/>
  <c r="V65" i="6"/>
  <c r="V66" i="6"/>
  <c r="V67" i="6"/>
  <c r="V68" i="6"/>
  <c r="V69" i="6"/>
  <c r="V71" i="6"/>
  <c r="V72" i="6"/>
  <c r="V73" i="6"/>
  <c r="V74" i="6"/>
  <c r="V75" i="6"/>
  <c r="V76" i="6"/>
  <c r="V77" i="6"/>
  <c r="V78" i="6"/>
  <c r="V79" i="6"/>
  <c r="V80" i="6"/>
  <c r="V81" i="6"/>
  <c r="U67" i="6" l="1"/>
  <c r="S67" i="6"/>
  <c r="U63" i="6"/>
  <c r="S63" i="6"/>
  <c r="U59" i="6"/>
  <c r="S59" i="6"/>
  <c r="U55" i="6"/>
  <c r="S55" i="6"/>
  <c r="U51" i="6"/>
  <c r="S51" i="6"/>
  <c r="S60" i="6"/>
  <c r="U60" i="6"/>
  <c r="S56" i="6"/>
  <c r="U56" i="6"/>
  <c r="S52" i="6"/>
  <c r="U52" i="6"/>
  <c r="U80" i="6"/>
  <c r="T80" i="6"/>
  <c r="S80" i="6"/>
  <c r="U81" i="6"/>
  <c r="T81" i="6"/>
  <c r="S65" i="6"/>
  <c r="U65" i="6"/>
  <c r="S61" i="6"/>
  <c r="U61" i="6"/>
  <c r="S57" i="6"/>
  <c r="U57" i="6"/>
  <c r="S53" i="6"/>
  <c r="U53" i="6"/>
  <c r="T79" i="6"/>
  <c r="S79" i="6"/>
  <c r="U79" i="6"/>
  <c r="S58" i="6"/>
  <c r="U58" i="6"/>
  <c r="S54" i="6"/>
  <c r="U54" i="6"/>
  <c r="U78" i="6"/>
  <c r="U74" i="6"/>
  <c r="S75" i="6"/>
  <c r="S71" i="6"/>
  <c r="T50" i="6"/>
  <c r="T49" i="6"/>
  <c r="T45" i="6"/>
  <c r="T41" i="6"/>
  <c r="T37" i="6"/>
  <c r="T33" i="6"/>
  <c r="T29" i="6"/>
  <c r="T25" i="6"/>
  <c r="T21" i="6"/>
  <c r="T17" i="6"/>
  <c r="T68" i="6"/>
  <c r="T67" i="6"/>
  <c r="T66" i="6"/>
  <c r="T65" i="6"/>
  <c r="T64" i="6"/>
  <c r="T63" i="6"/>
  <c r="T62" i="6"/>
  <c r="T61" i="6"/>
  <c r="T60" i="6"/>
  <c r="T59" i="6"/>
  <c r="T58" i="6"/>
  <c r="T57" i="6"/>
  <c r="T56" i="6"/>
  <c r="T55" i="6"/>
  <c r="T54" i="6"/>
  <c r="T53" i="6"/>
  <c r="T52" i="6"/>
  <c r="T51" i="6"/>
  <c r="T46" i="6"/>
  <c r="T42" i="6"/>
  <c r="T38" i="6"/>
  <c r="T34" i="6"/>
  <c r="T30" i="6"/>
  <c r="T26" i="6"/>
  <c r="T22" i="6"/>
  <c r="T18" i="6"/>
  <c r="U76" i="6"/>
  <c r="U72" i="6"/>
  <c r="S77" i="6"/>
  <c r="S73" i="6"/>
  <c r="S68" i="6"/>
  <c r="S64" i="6"/>
  <c r="Q70" i="6"/>
  <c r="R70" i="6" s="1"/>
  <c r="R82" i="6" s="1"/>
  <c r="T157" i="6"/>
  <c r="T153" i="6"/>
  <c r="T149" i="6"/>
  <c r="T145" i="6"/>
  <c r="T141" i="6"/>
  <c r="T137" i="6"/>
  <c r="T133" i="6"/>
  <c r="T129" i="6"/>
  <c r="T125" i="6"/>
  <c r="T121" i="6"/>
  <c r="T117" i="6"/>
  <c r="T113" i="6"/>
  <c r="T109" i="6"/>
  <c r="U157" i="6"/>
  <c r="U151" i="6"/>
  <c r="S158" i="6"/>
  <c r="T158" i="6"/>
  <c r="S154" i="6"/>
  <c r="T154" i="6"/>
  <c r="S150" i="6"/>
  <c r="T150" i="6"/>
  <c r="S146" i="6"/>
  <c r="T146" i="6"/>
  <c r="S142" i="6"/>
  <c r="T142" i="6"/>
  <c r="S138" i="6"/>
  <c r="T138" i="6"/>
  <c r="S134" i="6"/>
  <c r="T134" i="6"/>
  <c r="S130" i="6"/>
  <c r="T130" i="6"/>
  <c r="S126" i="6"/>
  <c r="T126" i="6"/>
  <c r="S122" i="6"/>
  <c r="T122" i="6"/>
  <c r="S118" i="6"/>
  <c r="T118" i="6"/>
  <c r="S114" i="6"/>
  <c r="T114" i="6"/>
  <c r="S110" i="6"/>
  <c r="T110" i="6"/>
  <c r="T155" i="6"/>
  <c r="T151" i="6"/>
  <c r="T147" i="6"/>
  <c r="T143" i="6"/>
  <c r="T139" i="6"/>
  <c r="T135" i="6"/>
  <c r="T131" i="6"/>
  <c r="T127" i="6"/>
  <c r="T123" i="6"/>
  <c r="T119" i="6"/>
  <c r="T115" i="6"/>
  <c r="T111" i="6"/>
  <c r="T107" i="6"/>
  <c r="T156" i="6"/>
  <c r="S156" i="6"/>
  <c r="T152" i="6"/>
  <c r="S152" i="6"/>
  <c r="T148" i="6"/>
  <c r="S148" i="6"/>
  <c r="T144" i="6"/>
  <c r="S144" i="6"/>
  <c r="T140" i="6"/>
  <c r="S140" i="6"/>
  <c r="T136" i="6"/>
  <c r="S136" i="6"/>
  <c r="T132" i="6"/>
  <c r="S132" i="6"/>
  <c r="T128" i="6"/>
  <c r="S128" i="6"/>
  <c r="T124" i="6"/>
  <c r="S124" i="6"/>
  <c r="T120" i="6"/>
  <c r="S120" i="6"/>
  <c r="T116" i="6"/>
  <c r="S116" i="6"/>
  <c r="T112" i="6"/>
  <c r="S112" i="6"/>
  <c r="T108" i="6"/>
  <c r="S108" i="6"/>
  <c r="Q106" i="6"/>
  <c r="R106" i="6" s="1"/>
  <c r="U82" i="6" l="1"/>
  <c r="U89" i="6" s="1"/>
  <c r="S87" i="6"/>
  <c r="S88" i="6" s="1"/>
  <c r="T82" i="6"/>
  <c r="S106" i="6"/>
  <c r="S159" i="6" s="1"/>
  <c r="T106" i="6"/>
  <c r="T159" i="6" s="1"/>
  <c r="R159" i="6"/>
  <c r="U106" i="6"/>
  <c r="U159" i="6" s="1"/>
  <c r="T70" i="6"/>
  <c r="S70" i="6"/>
  <c r="S82" i="6" s="1"/>
  <c r="S86" i="6" s="1"/>
  <c r="U70" i="6"/>
  <c r="S90" i="6" l="1"/>
  <c r="S89" i="6"/>
  <c r="S91" i="6"/>
  <c r="S92" i="6" s="1"/>
  <c r="U166" i="6"/>
  <c r="S164" i="6"/>
  <c r="S165" i="6" s="1"/>
  <c r="U86" i="6"/>
  <c r="U88" i="6" s="1"/>
  <c r="U90" i="6" s="1"/>
  <c r="U163" i="6"/>
  <c r="U165" i="6" s="1"/>
  <c r="U167" i="6" s="1"/>
  <c r="S163" i="6"/>
  <c r="S167" i="6" l="1"/>
  <c r="S168" i="6"/>
  <c r="S169" i="6" s="1"/>
  <c r="S166" i="6"/>
  <c r="W108" i="6"/>
  <c r="X108" i="6" s="1"/>
  <c r="Y108" i="6" s="1"/>
  <c r="Z108" i="6" s="1"/>
  <c r="W112" i="6"/>
  <c r="X112" i="6" s="1"/>
  <c r="Y112" i="6" s="1"/>
  <c r="Z112" i="6" s="1"/>
  <c r="W116" i="6"/>
  <c r="X116" i="6" s="1"/>
  <c r="Y116" i="6" s="1"/>
  <c r="Z116" i="6" s="1"/>
  <c r="W120" i="6"/>
  <c r="X120" i="6" s="1"/>
  <c r="Y120" i="6" s="1"/>
  <c r="Z120" i="6" s="1"/>
  <c r="W125" i="6"/>
  <c r="X125" i="6" s="1"/>
  <c r="Y125" i="6" s="1"/>
  <c r="Z125" i="6" s="1"/>
  <c r="W129" i="6"/>
  <c r="X129" i="6" s="1"/>
  <c r="Y129" i="6" s="1"/>
  <c r="Z129" i="6" s="1"/>
  <c r="W133" i="6"/>
  <c r="X133" i="6" s="1"/>
  <c r="Y133" i="6" s="1"/>
  <c r="Z133" i="6" s="1"/>
  <c r="W137" i="6"/>
  <c r="X137" i="6" s="1"/>
  <c r="Y137" i="6" s="1"/>
  <c r="Z137" i="6" s="1"/>
  <c r="W141" i="6"/>
  <c r="X141" i="6" s="1"/>
  <c r="Y141" i="6" s="1"/>
  <c r="Z141" i="6" s="1"/>
  <c r="W145" i="6"/>
  <c r="X145" i="6" s="1"/>
  <c r="Y145" i="6" s="1"/>
  <c r="Z145" i="6" s="1"/>
  <c r="W149" i="6"/>
  <c r="X149" i="6" s="1"/>
  <c r="Y149" i="6" s="1"/>
  <c r="Z149" i="6" s="1"/>
  <c r="W153" i="6"/>
  <c r="X153" i="6" s="1"/>
  <c r="Y153" i="6" s="1"/>
  <c r="Z153" i="6" s="1"/>
  <c r="W157" i="6"/>
  <c r="X157" i="6" s="1"/>
  <c r="Y157" i="6" s="1"/>
  <c r="Z157" i="6" s="1"/>
  <c r="W126" i="6"/>
  <c r="X126" i="6" s="1"/>
  <c r="Y126" i="6" s="1"/>
  <c r="Z126" i="6" s="1"/>
  <c r="W130" i="6"/>
  <c r="X130" i="6" s="1"/>
  <c r="Y130" i="6" s="1"/>
  <c r="Z130" i="6" s="1"/>
  <c r="W134" i="6"/>
  <c r="X134" i="6" s="1"/>
  <c r="Y134" i="6" s="1"/>
  <c r="Z134" i="6" s="1"/>
  <c r="W138" i="6"/>
  <c r="X138" i="6" s="1"/>
  <c r="Y138" i="6" s="1"/>
  <c r="Z138" i="6" s="1"/>
  <c r="W142" i="6"/>
  <c r="X142" i="6" s="1"/>
  <c r="Y142" i="6" s="1"/>
  <c r="Z142" i="6" s="1"/>
  <c r="W146" i="6"/>
  <c r="X146" i="6" s="1"/>
  <c r="Y146" i="6" s="1"/>
  <c r="Z146" i="6" s="1"/>
  <c r="W150" i="6"/>
  <c r="X150" i="6" s="1"/>
  <c r="Y150" i="6" s="1"/>
  <c r="Z150" i="6" s="1"/>
  <c r="W154" i="6"/>
  <c r="X154" i="6" s="1"/>
  <c r="Y154" i="6" s="1"/>
  <c r="Z154" i="6" s="1"/>
  <c r="W158" i="6"/>
  <c r="X158" i="6" s="1"/>
  <c r="Y158" i="6" s="1"/>
  <c r="Z158" i="6" s="1"/>
  <c r="W106" i="6"/>
  <c r="X106" i="6" s="1"/>
  <c r="Y106" i="6" s="1"/>
  <c r="W107" i="6"/>
  <c r="X107" i="6" s="1"/>
  <c r="Y107" i="6" s="1"/>
  <c r="Z107" i="6" s="1"/>
  <c r="W109" i="6"/>
  <c r="X109" i="6" s="1"/>
  <c r="Y109" i="6" s="1"/>
  <c r="Z109" i="6" s="1"/>
  <c r="W110" i="6"/>
  <c r="X110" i="6" s="1"/>
  <c r="Y110" i="6" s="1"/>
  <c r="Z110" i="6" s="1"/>
  <c r="W111" i="6"/>
  <c r="X111" i="6" s="1"/>
  <c r="Y111" i="6" s="1"/>
  <c r="Z111" i="6" s="1"/>
  <c r="W113" i="6"/>
  <c r="X113" i="6" s="1"/>
  <c r="Y113" i="6" s="1"/>
  <c r="Z113" i="6" s="1"/>
  <c r="W114" i="6"/>
  <c r="X114" i="6" s="1"/>
  <c r="Y114" i="6" s="1"/>
  <c r="Z114" i="6" s="1"/>
  <c r="W115" i="6"/>
  <c r="X115" i="6" s="1"/>
  <c r="Y115" i="6" s="1"/>
  <c r="Z115" i="6" s="1"/>
  <c r="W117" i="6"/>
  <c r="X117" i="6" s="1"/>
  <c r="Y117" i="6" s="1"/>
  <c r="Z117" i="6" s="1"/>
  <c r="W118" i="6"/>
  <c r="X118" i="6" s="1"/>
  <c r="Y118" i="6" s="1"/>
  <c r="Z118" i="6" s="1"/>
  <c r="W119" i="6"/>
  <c r="X119" i="6" s="1"/>
  <c r="Y119" i="6" s="1"/>
  <c r="Z119" i="6" s="1"/>
  <c r="W121" i="6"/>
  <c r="X121" i="6" s="1"/>
  <c r="Y121" i="6" s="1"/>
  <c r="Z121" i="6" s="1"/>
  <c r="W122" i="6"/>
  <c r="X122" i="6" s="1"/>
  <c r="Y122" i="6" s="1"/>
  <c r="Z122" i="6" s="1"/>
  <c r="W123" i="6"/>
  <c r="X123" i="6" s="1"/>
  <c r="Y123" i="6" s="1"/>
  <c r="Z123" i="6" s="1"/>
  <c r="W127" i="6"/>
  <c r="X127" i="6" s="1"/>
  <c r="Y127" i="6" s="1"/>
  <c r="Z127" i="6" s="1"/>
  <c r="W131" i="6"/>
  <c r="X131" i="6" s="1"/>
  <c r="Y131" i="6" s="1"/>
  <c r="Z131" i="6" s="1"/>
  <c r="W135" i="6"/>
  <c r="X135" i="6" s="1"/>
  <c r="Y135" i="6" s="1"/>
  <c r="Z135" i="6" s="1"/>
  <c r="W139" i="6"/>
  <c r="X139" i="6" s="1"/>
  <c r="Y139" i="6" s="1"/>
  <c r="Z139" i="6" s="1"/>
  <c r="W143" i="6"/>
  <c r="X143" i="6" s="1"/>
  <c r="Y143" i="6" s="1"/>
  <c r="Z143" i="6" s="1"/>
  <c r="W147" i="6"/>
  <c r="X147" i="6" s="1"/>
  <c r="Y147" i="6" s="1"/>
  <c r="Z147" i="6" s="1"/>
  <c r="W151" i="6"/>
  <c r="X151" i="6" s="1"/>
  <c r="Y151" i="6" s="1"/>
  <c r="Z151" i="6" s="1"/>
  <c r="W155" i="6"/>
  <c r="X155" i="6" s="1"/>
  <c r="Y155" i="6" s="1"/>
  <c r="Z155" i="6" s="1"/>
  <c r="W124" i="6"/>
  <c r="X124" i="6" s="1"/>
  <c r="Y124" i="6" s="1"/>
  <c r="Z124" i="6" s="1"/>
  <c r="W128" i="6"/>
  <c r="X128" i="6" s="1"/>
  <c r="Y128" i="6" s="1"/>
  <c r="Z128" i="6" s="1"/>
  <c r="W132" i="6"/>
  <c r="X132" i="6" s="1"/>
  <c r="Y132" i="6" s="1"/>
  <c r="Z132" i="6" s="1"/>
  <c r="W136" i="6"/>
  <c r="X136" i="6" s="1"/>
  <c r="Y136" i="6" s="1"/>
  <c r="Z136" i="6" s="1"/>
  <c r="W140" i="6"/>
  <c r="X140" i="6" s="1"/>
  <c r="Y140" i="6" s="1"/>
  <c r="Z140" i="6" s="1"/>
  <c r="W144" i="6"/>
  <c r="X144" i="6" s="1"/>
  <c r="Y144" i="6" s="1"/>
  <c r="Z144" i="6" s="1"/>
  <c r="W148" i="6"/>
  <c r="X148" i="6" s="1"/>
  <c r="Y148" i="6" s="1"/>
  <c r="Z148" i="6" s="1"/>
  <c r="W152" i="6"/>
  <c r="X152" i="6" s="1"/>
  <c r="Y152" i="6" s="1"/>
  <c r="Z152" i="6" s="1"/>
  <c r="W156" i="6"/>
  <c r="X156" i="6" s="1"/>
  <c r="Y156" i="6" s="1"/>
  <c r="Z156" i="6" s="1"/>
  <c r="W5" i="6"/>
  <c r="X5" i="6" s="1"/>
  <c r="Y5" i="6" s="1"/>
  <c r="W9" i="6"/>
  <c r="X9" i="6" s="1"/>
  <c r="Y9" i="6" s="1"/>
  <c r="Z9" i="6" s="1"/>
  <c r="W13" i="6"/>
  <c r="X13" i="6" s="1"/>
  <c r="Y13" i="6" s="1"/>
  <c r="Z13" i="6" s="1"/>
  <c r="W17" i="6"/>
  <c r="X17" i="6" s="1"/>
  <c r="Y17" i="6" s="1"/>
  <c r="Z17" i="6" s="1"/>
  <c r="W21" i="6"/>
  <c r="X21" i="6" s="1"/>
  <c r="Y21" i="6" s="1"/>
  <c r="Z21" i="6" s="1"/>
  <c r="W25" i="6"/>
  <c r="X25" i="6" s="1"/>
  <c r="Y25" i="6" s="1"/>
  <c r="Z25" i="6" s="1"/>
  <c r="W29" i="6"/>
  <c r="X29" i="6" s="1"/>
  <c r="Y29" i="6" s="1"/>
  <c r="Z29" i="6" s="1"/>
  <c r="W33" i="6"/>
  <c r="X33" i="6" s="1"/>
  <c r="Y33" i="6" s="1"/>
  <c r="Z33" i="6" s="1"/>
  <c r="W37" i="6"/>
  <c r="X37" i="6" s="1"/>
  <c r="Y37" i="6" s="1"/>
  <c r="Z37" i="6" s="1"/>
  <c r="W41" i="6"/>
  <c r="X41" i="6" s="1"/>
  <c r="Y41" i="6" s="1"/>
  <c r="Z41" i="6" s="1"/>
  <c r="W45" i="6"/>
  <c r="X45" i="6" s="1"/>
  <c r="Y45" i="6" s="1"/>
  <c r="Z45" i="6" s="1"/>
  <c r="W49" i="6"/>
  <c r="X49" i="6" s="1"/>
  <c r="Y49" i="6" s="1"/>
  <c r="Z49" i="6" s="1"/>
  <c r="W53" i="6"/>
  <c r="X53" i="6" s="1"/>
  <c r="Y53" i="6" s="1"/>
  <c r="Z53" i="6" s="1"/>
  <c r="W57" i="6"/>
  <c r="X57" i="6" s="1"/>
  <c r="Y57" i="6" s="1"/>
  <c r="Z57" i="6" s="1"/>
  <c r="W61" i="6"/>
  <c r="X61" i="6" s="1"/>
  <c r="Y61" i="6" s="1"/>
  <c r="Z61" i="6" s="1"/>
  <c r="W65" i="6"/>
  <c r="X65" i="6" s="1"/>
  <c r="Y65" i="6" s="1"/>
  <c r="Z65" i="6" s="1"/>
  <c r="W69" i="6"/>
  <c r="X69" i="6" s="1"/>
  <c r="Y69" i="6" s="1"/>
  <c r="Z69" i="6" s="1"/>
  <c r="W74" i="6"/>
  <c r="X74" i="6" s="1"/>
  <c r="Y74" i="6" s="1"/>
  <c r="Z74" i="6" s="1"/>
  <c r="W78" i="6"/>
  <c r="X78" i="6" s="1"/>
  <c r="Y78" i="6" s="1"/>
  <c r="Z78" i="6" s="1"/>
  <c r="W70" i="6"/>
  <c r="X70" i="6" s="1"/>
  <c r="Y70" i="6" s="1"/>
  <c r="Z70" i="6" s="1"/>
  <c r="W6" i="6"/>
  <c r="X6" i="6" s="1"/>
  <c r="Y6" i="6" s="1"/>
  <c r="Z6" i="6" s="1"/>
  <c r="W22" i="6"/>
  <c r="X22" i="6" s="1"/>
  <c r="Y22" i="6" s="1"/>
  <c r="Z22" i="6" s="1"/>
  <c r="W26" i="6"/>
  <c r="X26" i="6" s="1"/>
  <c r="Y26" i="6" s="1"/>
  <c r="Z26" i="6" s="1"/>
  <c r="W30" i="6"/>
  <c r="X30" i="6" s="1"/>
  <c r="Y30" i="6" s="1"/>
  <c r="Z30" i="6" s="1"/>
  <c r="W38" i="6"/>
  <c r="X38" i="6" s="1"/>
  <c r="Y38" i="6" s="1"/>
  <c r="Z38" i="6" s="1"/>
  <c r="W50" i="6"/>
  <c r="X50" i="6" s="1"/>
  <c r="Y50" i="6" s="1"/>
  <c r="Z50" i="6" s="1"/>
  <c r="W58" i="6"/>
  <c r="X58" i="6" s="1"/>
  <c r="Y58" i="6" s="1"/>
  <c r="Z58" i="6" s="1"/>
  <c r="W66" i="6"/>
  <c r="X66" i="6" s="1"/>
  <c r="Y66" i="6" s="1"/>
  <c r="Z66" i="6" s="1"/>
  <c r="W10" i="6"/>
  <c r="X10" i="6" s="1"/>
  <c r="Y10" i="6" s="1"/>
  <c r="Z10" i="6" s="1"/>
  <c r="W14" i="6"/>
  <c r="X14" i="6" s="1"/>
  <c r="Y14" i="6" s="1"/>
  <c r="Z14" i="6" s="1"/>
  <c r="W18" i="6"/>
  <c r="X18" i="6" s="1"/>
  <c r="Y18" i="6" s="1"/>
  <c r="Z18" i="6" s="1"/>
  <c r="W34" i="6"/>
  <c r="X34" i="6" s="1"/>
  <c r="Y34" i="6" s="1"/>
  <c r="Z34" i="6" s="1"/>
  <c r="W42" i="6"/>
  <c r="X42" i="6" s="1"/>
  <c r="Y42" i="6" s="1"/>
  <c r="Z42" i="6" s="1"/>
  <c r="W46" i="6"/>
  <c r="X46" i="6" s="1"/>
  <c r="Y46" i="6" s="1"/>
  <c r="Z46" i="6" s="1"/>
  <c r="W54" i="6"/>
  <c r="X54" i="6" s="1"/>
  <c r="Y54" i="6" s="1"/>
  <c r="Z54" i="6" s="1"/>
  <c r="W62" i="6"/>
  <c r="X62" i="6" s="1"/>
  <c r="Y62" i="6" s="1"/>
  <c r="Z62" i="6" s="1"/>
  <c r="W71" i="6"/>
  <c r="X71" i="6" s="1"/>
  <c r="Y71" i="6" s="1"/>
  <c r="Z71" i="6" s="1"/>
  <c r="W7" i="6"/>
  <c r="X7" i="6" s="1"/>
  <c r="Y7" i="6" s="1"/>
  <c r="Z7" i="6" s="1"/>
  <c r="W11" i="6"/>
  <c r="X11" i="6" s="1"/>
  <c r="Y11" i="6" s="1"/>
  <c r="Z11" i="6" s="1"/>
  <c r="W15" i="6"/>
  <c r="X15" i="6" s="1"/>
  <c r="Y15" i="6" s="1"/>
  <c r="Z15" i="6" s="1"/>
  <c r="W19" i="6"/>
  <c r="X19" i="6" s="1"/>
  <c r="Y19" i="6" s="1"/>
  <c r="Z19" i="6" s="1"/>
  <c r="W23" i="6"/>
  <c r="X23" i="6" s="1"/>
  <c r="Y23" i="6" s="1"/>
  <c r="Z23" i="6" s="1"/>
  <c r="W27" i="6"/>
  <c r="X27" i="6" s="1"/>
  <c r="Y27" i="6" s="1"/>
  <c r="Z27" i="6" s="1"/>
  <c r="W31" i="6"/>
  <c r="X31" i="6" s="1"/>
  <c r="Y31" i="6" s="1"/>
  <c r="Z31" i="6" s="1"/>
  <c r="W35" i="6"/>
  <c r="X35" i="6" s="1"/>
  <c r="Y35" i="6" s="1"/>
  <c r="Z35" i="6" s="1"/>
  <c r="W39" i="6"/>
  <c r="X39" i="6" s="1"/>
  <c r="Y39" i="6" s="1"/>
  <c r="Z39" i="6" s="1"/>
  <c r="W43" i="6"/>
  <c r="X43" i="6" s="1"/>
  <c r="Y43" i="6" s="1"/>
  <c r="Z43" i="6" s="1"/>
  <c r="W47" i="6"/>
  <c r="X47" i="6" s="1"/>
  <c r="Y47" i="6" s="1"/>
  <c r="Z47" i="6" s="1"/>
  <c r="W51" i="6"/>
  <c r="X51" i="6" s="1"/>
  <c r="Y51" i="6" s="1"/>
  <c r="Z51" i="6" s="1"/>
  <c r="W55" i="6"/>
  <c r="X55" i="6" s="1"/>
  <c r="Y55" i="6" s="1"/>
  <c r="Z55" i="6" s="1"/>
  <c r="W59" i="6"/>
  <c r="X59" i="6" s="1"/>
  <c r="Y59" i="6" s="1"/>
  <c r="Z59" i="6" s="1"/>
  <c r="W63" i="6"/>
  <c r="X63" i="6" s="1"/>
  <c r="Y63" i="6" s="1"/>
  <c r="Z63" i="6" s="1"/>
  <c r="W67" i="6"/>
  <c r="X67" i="6" s="1"/>
  <c r="Y67" i="6" s="1"/>
  <c r="Z67" i="6" s="1"/>
  <c r="W72" i="6"/>
  <c r="X72" i="6" s="1"/>
  <c r="Y72" i="6" s="1"/>
  <c r="Z72" i="6" s="1"/>
  <c r="W76" i="6"/>
  <c r="X76" i="6" s="1"/>
  <c r="Y76" i="6" s="1"/>
  <c r="Z76" i="6" s="1"/>
  <c r="W80" i="6"/>
  <c r="X80" i="6" s="1"/>
  <c r="Y80" i="6" s="1"/>
  <c r="Z80" i="6" s="1"/>
  <c r="W8" i="6"/>
  <c r="X8" i="6" s="1"/>
  <c r="Y8" i="6" s="1"/>
  <c r="Z8" i="6" s="1"/>
  <c r="W16" i="6"/>
  <c r="X16" i="6" s="1"/>
  <c r="Y16" i="6" s="1"/>
  <c r="Z16" i="6" s="1"/>
  <c r="W20" i="6"/>
  <c r="X20" i="6" s="1"/>
  <c r="Y20" i="6" s="1"/>
  <c r="Z20" i="6" s="1"/>
  <c r="W32" i="6"/>
  <c r="X32" i="6" s="1"/>
  <c r="Y32" i="6" s="1"/>
  <c r="Z32" i="6" s="1"/>
  <c r="W48" i="6"/>
  <c r="X48" i="6" s="1"/>
  <c r="Y48" i="6" s="1"/>
  <c r="Z48" i="6" s="1"/>
  <c r="W56" i="6"/>
  <c r="X56" i="6" s="1"/>
  <c r="Y56" i="6" s="1"/>
  <c r="Z56" i="6" s="1"/>
  <c r="W12" i="6"/>
  <c r="X12" i="6" s="1"/>
  <c r="Y12" i="6" s="1"/>
  <c r="Z12" i="6" s="1"/>
  <c r="W24" i="6"/>
  <c r="X24" i="6" s="1"/>
  <c r="Y24" i="6" s="1"/>
  <c r="Z24" i="6" s="1"/>
  <c r="W28" i="6"/>
  <c r="X28" i="6" s="1"/>
  <c r="Y28" i="6" s="1"/>
  <c r="Z28" i="6" s="1"/>
  <c r="W36" i="6"/>
  <c r="X36" i="6" s="1"/>
  <c r="Y36" i="6" s="1"/>
  <c r="Z36" i="6" s="1"/>
  <c r="W40" i="6"/>
  <c r="X40" i="6" s="1"/>
  <c r="Y40" i="6" s="1"/>
  <c r="Z40" i="6" s="1"/>
  <c r="W44" i="6"/>
  <c r="X44" i="6" s="1"/>
  <c r="Y44" i="6" s="1"/>
  <c r="Z44" i="6" s="1"/>
  <c r="W52" i="6"/>
  <c r="X52" i="6" s="1"/>
  <c r="Y52" i="6" s="1"/>
  <c r="Z52" i="6" s="1"/>
  <c r="W60" i="6"/>
  <c r="X60" i="6" s="1"/>
  <c r="Y60" i="6" s="1"/>
  <c r="Z60" i="6" s="1"/>
  <c r="W75" i="6"/>
  <c r="X75" i="6" s="1"/>
  <c r="Y75" i="6" s="1"/>
  <c r="Z75" i="6" s="1"/>
  <c r="W79" i="6"/>
  <c r="X79" i="6" s="1"/>
  <c r="Y79" i="6" s="1"/>
  <c r="Z79" i="6" s="1"/>
  <c r="W64" i="6"/>
  <c r="X64" i="6" s="1"/>
  <c r="Y64" i="6" s="1"/>
  <c r="Z64" i="6" s="1"/>
  <c r="W68" i="6"/>
  <c r="X68" i="6" s="1"/>
  <c r="Y68" i="6" s="1"/>
  <c r="Z68" i="6" s="1"/>
  <c r="W73" i="6"/>
  <c r="X73" i="6" s="1"/>
  <c r="Y73" i="6" s="1"/>
  <c r="Z73" i="6" s="1"/>
  <c r="W77" i="6"/>
  <c r="X77" i="6" s="1"/>
  <c r="Y77" i="6" s="1"/>
  <c r="Z77" i="6" s="1"/>
  <c r="W81" i="6"/>
  <c r="X81" i="6" s="1"/>
  <c r="Y81" i="6" s="1"/>
  <c r="Z81" i="6" s="1"/>
  <c r="Z106" i="6" l="1"/>
  <c r="Z159" i="6" s="1"/>
  <c r="Z163" i="6" s="1"/>
  <c r="Y159" i="6"/>
  <c r="Z164" i="6" s="1"/>
  <c r="Z165" i="6" s="1"/>
  <c r="Y82" i="6"/>
  <c r="Z87" i="6" s="1"/>
  <c r="Z88" i="6" s="1"/>
  <c r="Z5" i="6"/>
  <c r="Z82" i="6" s="1"/>
  <c r="Z86" i="6" s="1"/>
  <c r="Z91" i="6" l="1"/>
  <c r="Z92" i="6" s="1"/>
  <c r="Z89" i="6"/>
  <c r="Z90" i="6"/>
  <c r="Z168" i="6"/>
  <c r="Z169" i="6" s="1"/>
  <c r="Z166" i="6"/>
  <c r="Z167" i="6"/>
</calcChain>
</file>

<file path=xl/sharedStrings.xml><?xml version="1.0" encoding="utf-8"?>
<sst xmlns="http://schemas.openxmlformats.org/spreadsheetml/2006/main" count="1138" uniqueCount="221">
  <si>
    <t>Country coding: ISO 3166-1</t>
  </si>
  <si>
    <t>Type of sample</t>
  </si>
  <si>
    <t>ESS Round</t>
  </si>
  <si>
    <t>AT</t>
  </si>
  <si>
    <t>ESS1</t>
  </si>
  <si>
    <t>BE</t>
  </si>
  <si>
    <t>PRS</t>
  </si>
  <si>
    <t>CH</t>
  </si>
  <si>
    <t>CZ</t>
  </si>
  <si>
    <t>DE</t>
  </si>
  <si>
    <t>DK</t>
  </si>
  <si>
    <t>ES</t>
  </si>
  <si>
    <t>FI</t>
  </si>
  <si>
    <t>FR</t>
  </si>
  <si>
    <t>GB</t>
  </si>
  <si>
    <t>HU</t>
  </si>
  <si>
    <t>IE</t>
  </si>
  <si>
    <t>NL</t>
  </si>
  <si>
    <t>NO</t>
  </si>
  <si>
    <t>PL</t>
  </si>
  <si>
    <t>PT</t>
  </si>
  <si>
    <t>SE</t>
  </si>
  <si>
    <t>SI</t>
  </si>
  <si>
    <t>ESS2</t>
  </si>
  <si>
    <t>ESS3</t>
  </si>
  <si>
    <t>ESS4</t>
  </si>
  <si>
    <t>ESS5</t>
  </si>
  <si>
    <t>ESS6</t>
  </si>
  <si>
    <t>Country</t>
  </si>
  <si>
    <t>Austria</t>
  </si>
  <si>
    <t>Belgium</t>
  </si>
  <si>
    <t>Switzerland</t>
  </si>
  <si>
    <t>Czech Republic</t>
  </si>
  <si>
    <t>Germany</t>
  </si>
  <si>
    <t>Denmark</t>
  </si>
  <si>
    <t>Spain</t>
  </si>
  <si>
    <t>Finland</t>
  </si>
  <si>
    <t>France</t>
  </si>
  <si>
    <t>United Kingdom</t>
  </si>
  <si>
    <t>Hungary</t>
  </si>
  <si>
    <t>Ireland</t>
  </si>
  <si>
    <t>Netherlands</t>
  </si>
  <si>
    <t>Norway</t>
  </si>
  <si>
    <t>Poland</t>
  </si>
  <si>
    <t>Portugal</t>
  </si>
  <si>
    <t>Sweden</t>
  </si>
  <si>
    <t>Slovenia</t>
  </si>
  <si>
    <t>ESS7</t>
  </si>
  <si>
    <t>ADS/HHS</t>
  </si>
  <si>
    <t>EE</t>
  </si>
  <si>
    <t>Estonia</t>
  </si>
  <si>
    <t>ID</t>
  </si>
  <si>
    <t>AT_ESS1</t>
  </si>
  <si>
    <t>AT_ESS2</t>
  </si>
  <si>
    <t>AT_ESS3</t>
  </si>
  <si>
    <t>AT_ESS4</t>
  </si>
  <si>
    <t>AT_ESS5</t>
  </si>
  <si>
    <t>AT_ESS7</t>
  </si>
  <si>
    <t>BE_ESS1</t>
  </si>
  <si>
    <t>BE_ESS2</t>
  </si>
  <si>
    <t>BE_ESS3</t>
  </si>
  <si>
    <t>BE_ESS4</t>
  </si>
  <si>
    <t>BE_ESS5</t>
  </si>
  <si>
    <t>BE_ESS6</t>
  </si>
  <si>
    <t>BE_ESS7</t>
  </si>
  <si>
    <t>CZ_ESS1</t>
  </si>
  <si>
    <t>CZ_ESS2</t>
  </si>
  <si>
    <t>CZ_ESS4</t>
  </si>
  <si>
    <t>CZ_ESS5</t>
  </si>
  <si>
    <t>CZ_ESS6</t>
  </si>
  <si>
    <t>CZ_ESS7</t>
  </si>
  <si>
    <t>DK_ESS1</t>
  </si>
  <si>
    <t>DK_ESS2</t>
  </si>
  <si>
    <t>DK_ESS3</t>
  </si>
  <si>
    <t>DK_ESS4</t>
  </si>
  <si>
    <t>DK_ESS5</t>
  </si>
  <si>
    <t>DK_ESS6</t>
  </si>
  <si>
    <t>DK_ESS7</t>
  </si>
  <si>
    <t>EE_ESS2</t>
  </si>
  <si>
    <t>EE_ESS3</t>
  </si>
  <si>
    <t>EE_ESS4</t>
  </si>
  <si>
    <t>EE_ESS5</t>
  </si>
  <si>
    <t>EE_ESS6</t>
  </si>
  <si>
    <t>EE_ESS7</t>
  </si>
  <si>
    <t>FI_ESS1</t>
  </si>
  <si>
    <t>FI_ESS2</t>
  </si>
  <si>
    <t>FI_ESS3</t>
  </si>
  <si>
    <t>FI_ESS4</t>
  </si>
  <si>
    <t>FI_ESS5</t>
  </si>
  <si>
    <t>FI_ESS6</t>
  </si>
  <si>
    <t>FI_ESS7</t>
  </si>
  <si>
    <t>FR_ESS1</t>
  </si>
  <si>
    <t>FR_ESS2</t>
  </si>
  <si>
    <t>FR_ESS3</t>
  </si>
  <si>
    <t>FR_ESS4</t>
  </si>
  <si>
    <t>FR_ESS5</t>
  </si>
  <si>
    <t>FR_ESS6</t>
  </si>
  <si>
    <t>FR_ESS7</t>
  </si>
  <si>
    <t>DE_ESS1</t>
  </si>
  <si>
    <t>DE_ESS2</t>
  </si>
  <si>
    <t>DE_ESS3</t>
  </si>
  <si>
    <t>DE_ESS4</t>
  </si>
  <si>
    <t>DE_ESS5</t>
  </si>
  <si>
    <t>DE_ESS6</t>
  </si>
  <si>
    <t>DE_ESS7</t>
  </si>
  <si>
    <t>HU_ESS1</t>
  </si>
  <si>
    <t>HU_ESS2</t>
  </si>
  <si>
    <t>HU_ESS3</t>
  </si>
  <si>
    <t>HU_ESS4</t>
  </si>
  <si>
    <t>HU_ESS5</t>
  </si>
  <si>
    <t>HU_ESS6</t>
  </si>
  <si>
    <t>HU_ESS7</t>
  </si>
  <si>
    <t>IE_ESS1</t>
  </si>
  <si>
    <t>IE_ESS2</t>
  </si>
  <si>
    <t>IE_ESS3</t>
  </si>
  <si>
    <t>IE_ESS4</t>
  </si>
  <si>
    <t>IE_ESS5</t>
  </si>
  <si>
    <t>IE_ESS6</t>
  </si>
  <si>
    <t>IE_ESS7</t>
  </si>
  <si>
    <t>NL_ESS1</t>
  </si>
  <si>
    <t>NL_ESS2</t>
  </si>
  <si>
    <t>NL_ESS3</t>
  </si>
  <si>
    <t>NL_ESS4</t>
  </si>
  <si>
    <t>NL_ESS5</t>
  </si>
  <si>
    <t>NL_ESS6</t>
  </si>
  <si>
    <t>NL_ESS7</t>
  </si>
  <si>
    <t>NO_ESS1</t>
  </si>
  <si>
    <t>NO_ESS2</t>
  </si>
  <si>
    <t>NO_ESS3</t>
  </si>
  <si>
    <t>NO_ESS4</t>
  </si>
  <si>
    <t>NO_ESS5</t>
  </si>
  <si>
    <t>NO_ESS6</t>
  </si>
  <si>
    <t>NO_ESS7</t>
  </si>
  <si>
    <t>PL_ESS1</t>
  </si>
  <si>
    <t>PL_ESS2</t>
  </si>
  <si>
    <t>PL_ESS3</t>
  </si>
  <si>
    <t>PL_ESS4</t>
  </si>
  <si>
    <t>PL_ESS5</t>
  </si>
  <si>
    <t>PL_ESS6</t>
  </si>
  <si>
    <t>PL_ESS7</t>
  </si>
  <si>
    <t>PT_ESS1</t>
  </si>
  <si>
    <t>PT_ESS2</t>
  </si>
  <si>
    <t>PT_ESS3</t>
  </si>
  <si>
    <t>PT_ESS4</t>
  </si>
  <si>
    <t>PT_ESS5</t>
  </si>
  <si>
    <t>PT_ESS6</t>
  </si>
  <si>
    <t>PT_ESS7</t>
  </si>
  <si>
    <t>SI_ESS1</t>
  </si>
  <si>
    <t>SI_ESS2</t>
  </si>
  <si>
    <t>SI_ESS3</t>
  </si>
  <si>
    <t>SI_ESS4</t>
  </si>
  <si>
    <t>SI_ESS5</t>
  </si>
  <si>
    <t>SI_ESS6</t>
  </si>
  <si>
    <t>SI_ESS7</t>
  </si>
  <si>
    <t>ES_ESS1</t>
  </si>
  <si>
    <t>ES_ESS2</t>
  </si>
  <si>
    <t>ES_ESS3</t>
  </si>
  <si>
    <t>ES_ESS4</t>
  </si>
  <si>
    <t>ES_ESS5</t>
  </si>
  <si>
    <t>ES_ESS6</t>
  </si>
  <si>
    <t>ES_ESS7</t>
  </si>
  <si>
    <t>SE_ESS1</t>
  </si>
  <si>
    <t>SE_ESS2</t>
  </si>
  <si>
    <t>SE_ESS3</t>
  </si>
  <si>
    <t>SE_ESS4</t>
  </si>
  <si>
    <t>SE_ESS5</t>
  </si>
  <si>
    <t>SE_ESS6</t>
  </si>
  <si>
    <t>SE_ESS7</t>
  </si>
  <si>
    <t>CH_ESS1</t>
  </si>
  <si>
    <t>CH_ESS2</t>
  </si>
  <si>
    <t>CH_ESS3</t>
  </si>
  <si>
    <t>CH_ESS4</t>
  </si>
  <si>
    <t>CH_ESS5</t>
  </si>
  <si>
    <t>CH_ESS6</t>
  </si>
  <si>
    <t>CH_ESS7</t>
  </si>
  <si>
    <t>GB_ESS1</t>
  </si>
  <si>
    <t>GB_ESS2</t>
  </si>
  <si>
    <t>GB_ESS3</t>
  </si>
  <si>
    <t>GB_ESS4</t>
  </si>
  <si>
    <t>GB_ESS5</t>
  </si>
  <si>
    <t>GB_ESS6</t>
  </si>
  <si>
    <t>GB_ESS7</t>
  </si>
  <si>
    <t>n_hh_total</t>
  </si>
  <si>
    <t>%_females_hh_total</t>
  </si>
  <si>
    <t>Abs_Bias(hh_total)</t>
  </si>
  <si>
    <t>ESi(hh_total)</t>
  </si>
  <si>
    <t>Var(hh=total)</t>
  </si>
  <si>
    <t>% Females</t>
  </si>
  <si>
    <t>(1) Data</t>
  </si>
  <si>
    <t>(2) Fixed Effect</t>
  </si>
  <si>
    <t>(4) Compute Tau^2</t>
  </si>
  <si>
    <t>(6) Random effects</t>
  </si>
  <si>
    <t xml:space="preserve">ESi </t>
  </si>
  <si>
    <t>Variance</t>
  </si>
  <si>
    <t>Variance within</t>
  </si>
  <si>
    <t>wi</t>
  </si>
  <si>
    <t>ESi*wi</t>
  </si>
  <si>
    <t>ESi^2*wi</t>
  </si>
  <si>
    <t>wi^2</t>
  </si>
  <si>
    <t>Variance within2</t>
  </si>
  <si>
    <t>Variance between</t>
  </si>
  <si>
    <t>Variance total</t>
  </si>
  <si>
    <t>wi'</t>
  </si>
  <si>
    <t>ESi*wi'</t>
  </si>
  <si>
    <t>Suma</t>
  </si>
  <si>
    <t>(3) Fixed effect</t>
  </si>
  <si>
    <t>(5) Compute Tau^2</t>
  </si>
  <si>
    <t>(7) Random effects</t>
  </si>
  <si>
    <t>Effect size</t>
  </si>
  <si>
    <t>Q</t>
  </si>
  <si>
    <t>df</t>
  </si>
  <si>
    <t>Standard error</t>
  </si>
  <si>
    <t>Q-df</t>
  </si>
  <si>
    <t>95% Lower limit</t>
  </si>
  <si>
    <t>C</t>
  </si>
  <si>
    <t>95% Upper limit</t>
  </si>
  <si>
    <t>Tau-sq</t>
  </si>
  <si>
    <t>Z-value</t>
  </si>
  <si>
    <t>p-value (2-tailed)</t>
  </si>
  <si>
    <t>INPUT: ESS1-7_metadata</t>
  </si>
  <si>
    <t>OUTPUT: Overal Effect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</si>
</sst>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0"/>
    <numFmt numFmtId="165" formatCode="0.000"/>
    <numFmt numFmtId="166" formatCode="0.00000"/>
    <numFmt numFmtId="167" formatCode="0.0"/>
    <numFmt numFmtId="168" formatCode="0.0E+00"/>
  </numFmts>
  <fonts count="11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</borders>
  <cellStyleXfs count="15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84">
    <xf numFmtId="0" fontId="0" fillId="0" borderId="0" xfId="0"/>
    <xf numFmtId="165" fontId="0" fillId="0" borderId="1" xfId="0" applyNumberFormat="1" applyBorder="1"/>
    <xf numFmtId="0" fontId="0" fillId="0" borderId="1" xfId="0" applyBorder="1"/>
    <xf numFmtId="0" fontId="3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/>
    <xf numFmtId="0" fontId="3" fillId="0" borderId="5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4" fillId="0" borderId="1" xfId="0" applyNumberFormat="1" applyFont="1" applyFill="1" applyBorder="1"/>
    <xf numFmtId="164" fontId="4" fillId="0" borderId="1" xfId="2" applyNumberFormat="1" applyFont="1" applyFill="1" applyBorder="1" applyAlignment="1">
      <alignment horizontal="center" vertical="center"/>
    </xf>
    <xf numFmtId="164" fontId="4" fillId="0" borderId="1" xfId="4" applyNumberFormat="1" applyFont="1" applyFill="1" applyBorder="1" applyAlignment="1">
      <alignment horizontal="center" vertical="center"/>
    </xf>
    <xf numFmtId="0" fontId="4" fillId="0" borderId="7" xfId="0" applyFont="1" applyFill="1" applyBorder="1"/>
    <xf numFmtId="0" fontId="4" fillId="0" borderId="8" xfId="0" applyFont="1" applyFill="1" applyBorder="1"/>
    <xf numFmtId="0" fontId="4" fillId="0" borderId="8" xfId="0" applyFont="1" applyFill="1" applyBorder="1" applyAlignment="1">
      <alignment horizontal="center"/>
    </xf>
    <xf numFmtId="164" fontId="4" fillId="0" borderId="8" xfId="4" applyNumberFormat="1" applyFont="1" applyFill="1" applyBorder="1" applyAlignment="1">
      <alignment horizontal="center" vertical="center"/>
    </xf>
    <xf numFmtId="0" fontId="7" fillId="0" borderId="8" xfId="0" applyFont="1" applyFill="1" applyBorder="1"/>
    <xf numFmtId="166" fontId="7" fillId="0" borderId="1" xfId="0" applyNumberFormat="1" applyFont="1" applyFill="1" applyBorder="1"/>
    <xf numFmtId="165" fontId="7" fillId="0" borderId="1" xfId="0" applyNumberFormat="1" applyFont="1" applyFill="1" applyBorder="1"/>
    <xf numFmtId="165" fontId="7" fillId="0" borderId="8" xfId="0" applyNumberFormat="1" applyFont="1" applyFill="1" applyBorder="1"/>
    <xf numFmtId="2" fontId="7" fillId="0" borderId="1" xfId="0" applyNumberFormat="1" applyFont="1" applyFill="1" applyBorder="1"/>
    <xf numFmtId="2" fontId="7" fillId="0" borderId="8" xfId="0" applyNumberFormat="1" applyFont="1" applyFill="1" applyBorder="1"/>
    <xf numFmtId="0" fontId="0" fillId="0" borderId="4" xfId="0" applyFill="1" applyBorder="1"/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0" fillId="0" borderId="1" xfId="0" applyFill="1" applyBorder="1"/>
    <xf numFmtId="165" fontId="0" fillId="0" borderId="1" xfId="0" applyNumberFormat="1" applyFill="1" applyBorder="1"/>
    <xf numFmtId="166" fontId="0" fillId="0" borderId="1" xfId="0" applyNumberFormat="1" applyFill="1" applyBorder="1"/>
    <xf numFmtId="1" fontId="0" fillId="0" borderId="1" xfId="0" applyNumberFormat="1" applyFill="1" applyBorder="1"/>
    <xf numFmtId="2" fontId="0" fillId="0" borderId="1" xfId="0" applyNumberFormat="1" applyFill="1" applyBorder="1"/>
    <xf numFmtId="167" fontId="0" fillId="0" borderId="1" xfId="0" applyNumberFormat="1" applyFill="1" applyBorder="1"/>
    <xf numFmtId="2" fontId="0" fillId="0" borderId="3" xfId="0" applyNumberForma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0" fillId="0" borderId="8" xfId="0" applyFill="1" applyBorder="1"/>
    <xf numFmtId="165" fontId="0" fillId="0" borderId="8" xfId="0" applyNumberFormat="1" applyFill="1" applyBorder="1"/>
    <xf numFmtId="166" fontId="0" fillId="0" borderId="8" xfId="0" applyNumberFormat="1" applyFill="1" applyBorder="1"/>
    <xf numFmtId="1" fontId="0" fillId="0" borderId="8" xfId="0" applyNumberFormat="1" applyFill="1" applyBorder="1"/>
    <xf numFmtId="2" fontId="0" fillId="0" borderId="8" xfId="0" applyNumberFormat="1" applyFill="1" applyBorder="1"/>
    <xf numFmtId="167" fontId="0" fillId="0" borderId="8" xfId="0" applyNumberFormat="1" applyFill="1" applyBorder="1"/>
    <xf numFmtId="2" fontId="0" fillId="0" borderId="9" xfId="0" applyNumberFormat="1" applyFill="1" applyBorder="1"/>
    <xf numFmtId="0" fontId="0" fillId="2" borderId="21" xfId="0" applyFill="1" applyBorder="1"/>
    <xf numFmtId="0" fontId="0" fillId="2" borderId="0" xfId="0" applyFill="1" applyBorder="1"/>
    <xf numFmtId="0" fontId="0" fillId="2" borderId="22" xfId="0" applyFill="1" applyBorder="1"/>
    <xf numFmtId="168" fontId="0" fillId="2" borderId="22" xfId="0" applyNumberFormat="1" applyFill="1" applyBorder="1"/>
    <xf numFmtId="11" fontId="0" fillId="2" borderId="22" xfId="0" applyNumberFormat="1" applyFill="1" applyBorder="1"/>
    <xf numFmtId="165" fontId="0" fillId="2" borderId="22" xfId="0" applyNumberFormat="1" applyFont="1" applyFill="1" applyBorder="1"/>
    <xf numFmtId="166" fontId="0" fillId="2" borderId="22" xfId="0" applyNumberFormat="1" applyFill="1" applyBorder="1"/>
    <xf numFmtId="165" fontId="0" fillId="2" borderId="22" xfId="0" applyNumberFormat="1" applyFill="1" applyBorder="1"/>
    <xf numFmtId="0" fontId="0" fillId="2" borderId="23" xfId="0" applyFill="1" applyBorder="1"/>
    <xf numFmtId="0" fontId="0" fillId="2" borderId="24" xfId="0" applyFill="1" applyBorder="1"/>
    <xf numFmtId="0" fontId="0" fillId="2" borderId="25" xfId="0" applyFill="1" applyBorder="1"/>
    <xf numFmtId="166" fontId="0" fillId="0" borderId="1" xfId="0" applyNumberFormat="1" applyBorder="1"/>
    <xf numFmtId="1" fontId="0" fillId="0" borderId="1" xfId="0" applyNumberFormat="1" applyBorder="1"/>
    <xf numFmtId="2" fontId="0" fillId="0" borderId="1" xfId="0" applyNumberFormat="1" applyBorder="1"/>
    <xf numFmtId="165" fontId="0" fillId="0" borderId="3" xfId="0" applyNumberFormat="1" applyBorder="1"/>
    <xf numFmtId="0" fontId="0" fillId="0" borderId="8" xfId="0" applyBorder="1"/>
    <xf numFmtId="165" fontId="0" fillId="0" borderId="8" xfId="0" applyNumberFormat="1" applyBorder="1"/>
    <xf numFmtId="166" fontId="0" fillId="0" borderId="8" xfId="0" applyNumberFormat="1" applyBorder="1"/>
    <xf numFmtId="1" fontId="0" fillId="0" borderId="8" xfId="0" applyNumberFormat="1" applyBorder="1"/>
    <xf numFmtId="2" fontId="0" fillId="0" borderId="8" xfId="0" applyNumberFormat="1" applyBorder="1"/>
    <xf numFmtId="165" fontId="0" fillId="0" borderId="9" xfId="0" applyNumberFormat="1" applyBorder="1"/>
    <xf numFmtId="2" fontId="0" fillId="2" borderId="22" xfId="0" applyNumberFormat="1" applyFill="1" applyBorder="1"/>
    <xf numFmtId="165" fontId="0" fillId="2" borderId="25" xfId="0" applyNumberFormat="1" applyFill="1" applyBorder="1"/>
    <xf numFmtId="0" fontId="10" fillId="2" borderId="18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0" fontId="10" fillId="0" borderId="0" xfId="0" applyFont="1" applyAlignment="1">
      <alignment horizontal="left"/>
    </xf>
  </cellXfs>
  <cellStyles count="150">
    <cellStyle name="Hiperłącze" xfId="10" builtinId="8" hidden="1"/>
    <cellStyle name="Hiperłącze" xfId="12" builtinId="8" hidden="1"/>
    <cellStyle name="Hiperłącze" xfId="14" builtinId="8" hidden="1"/>
    <cellStyle name="Hiperłącze" xfId="16" builtinId="8" hidden="1"/>
    <cellStyle name="Hiperłącze" xfId="18" builtinId="8" hidden="1"/>
    <cellStyle name="Hiperłącze" xfId="20" builtinId="8" hidden="1"/>
    <cellStyle name="Hiperłącze" xfId="22" builtinId="8" hidden="1"/>
    <cellStyle name="Hiperłącze" xfId="24" builtinId="8" hidden="1"/>
    <cellStyle name="Hiperłącze" xfId="26" builtinId="8" hidden="1"/>
    <cellStyle name="Hiperłącze" xfId="28" builtinId="8" hidden="1"/>
    <cellStyle name="Hiperłącze" xfId="30" builtinId="8" hidden="1"/>
    <cellStyle name="Hiperłącze" xfId="32" builtinId="8" hidden="1"/>
    <cellStyle name="Hiperłącze" xfId="34" builtinId="8" hidden="1"/>
    <cellStyle name="Hiperłącze" xfId="36" builtinId="8" hidden="1"/>
    <cellStyle name="Hiperłącze" xfId="38" builtinId="8" hidden="1"/>
    <cellStyle name="Hiperłącze" xfId="40" builtinId="8" hidden="1"/>
    <cellStyle name="Hiperłącze" xfId="42" builtinId="8" hidden="1"/>
    <cellStyle name="Hiperłącze" xfId="44" builtinId="8" hidden="1"/>
    <cellStyle name="Hiperłącze" xfId="46" builtinId="8" hidden="1"/>
    <cellStyle name="Hiperłącze" xfId="48" builtinId="8" hidden="1"/>
    <cellStyle name="Hiperłącze" xfId="50" builtinId="8" hidden="1"/>
    <cellStyle name="Hiperłącze" xfId="52" builtinId="8" hidden="1"/>
    <cellStyle name="Hiperłącze" xfId="54" builtinId="8" hidden="1"/>
    <cellStyle name="Hiperłącze" xfId="56" builtinId="8" hidden="1"/>
    <cellStyle name="Hiperłącze" xfId="58" builtinId="8" hidden="1"/>
    <cellStyle name="Hiperłącze" xfId="60" builtinId="8" hidden="1"/>
    <cellStyle name="Hiperłącze" xfId="62" builtinId="8" hidden="1"/>
    <cellStyle name="Hiperłącze" xfId="64" builtinId="8" hidden="1"/>
    <cellStyle name="Hiperłącze" xfId="66" builtinId="8" hidden="1"/>
    <cellStyle name="Hiperłącze" xfId="68" builtinId="8" hidden="1"/>
    <cellStyle name="Hiperłącze" xfId="70" builtinId="8" hidden="1"/>
    <cellStyle name="Hiperłącze" xfId="72" builtinId="8" hidden="1"/>
    <cellStyle name="Hiperłącze" xfId="74" builtinId="8" hidden="1"/>
    <cellStyle name="Hiperłącze" xfId="76" builtinId="8" hidden="1"/>
    <cellStyle name="Hiperłącze" xfId="78" builtinId="8" hidden="1"/>
    <cellStyle name="Hiperłącze" xfId="80" builtinId="8" hidden="1"/>
    <cellStyle name="Hiperłącze" xfId="82" builtinId="8" hidden="1"/>
    <cellStyle name="Hiperłącze" xfId="84" builtinId="8" hidden="1"/>
    <cellStyle name="Hiperłącze" xfId="86" builtinId="8" hidden="1"/>
    <cellStyle name="Hiperłącze" xfId="88" builtinId="8" hidden="1"/>
    <cellStyle name="Hiperłącze" xfId="90" builtinId="8" hidden="1"/>
    <cellStyle name="Hiperłącze" xfId="92" builtinId="8" hidden="1"/>
    <cellStyle name="Hiperłącze" xfId="94" builtinId="8" hidden="1"/>
    <cellStyle name="Hiperłącze" xfId="96" builtinId="8" hidden="1"/>
    <cellStyle name="Hiperłącze" xfId="98" builtinId="8" hidden="1"/>
    <cellStyle name="Hiperłącze" xfId="100" builtinId="8" hidden="1"/>
    <cellStyle name="Hiperłącze" xfId="112" builtinId="8" hidden="1"/>
    <cellStyle name="Hiperłącze" xfId="114" builtinId="8" hidden="1"/>
    <cellStyle name="Hiperłącze" xfId="116" builtinId="8" hidden="1"/>
    <cellStyle name="Hiperłącze" xfId="118" builtinId="8" hidden="1"/>
    <cellStyle name="Hiperłącze" xfId="120" builtinId="8" hidden="1"/>
    <cellStyle name="Hiperłącze" xfId="122" builtinId="8" hidden="1"/>
    <cellStyle name="Hiperłącze" xfId="124" builtinId="8" hidden="1"/>
    <cellStyle name="Hiperłącze" xfId="126" builtinId="8" hidden="1"/>
    <cellStyle name="Hiperłącze" xfId="128" builtinId="8" hidden="1"/>
    <cellStyle name="Hiperłącze" xfId="130" builtinId="8" hidden="1"/>
    <cellStyle name="Hiperłącze" xfId="132" builtinId="8" hidden="1"/>
    <cellStyle name="Hiperłącze" xfId="134" builtinId="8" hidden="1"/>
    <cellStyle name="Hiperłącze" xfId="136" builtinId="8" hidden="1"/>
    <cellStyle name="Hiperłącze" xfId="138" builtinId="8" hidden="1"/>
    <cellStyle name="Hiperłącze" xfId="140" builtinId="8" hidden="1"/>
    <cellStyle name="Hiperłącze" xfId="142" builtinId="8" hidden="1"/>
    <cellStyle name="Hiperłącze" xfId="144" builtinId="8" hidden="1"/>
    <cellStyle name="Hiperłącze" xfId="146" builtinId="8" hidden="1"/>
    <cellStyle name="Hiperłącze" xfId="148" builtinId="8" hidden="1"/>
    <cellStyle name="Normalny" xfId="0" builtinId="0"/>
    <cellStyle name="Odwiedzone hiperłącze" xfId="11" builtinId="9" hidden="1"/>
    <cellStyle name="Odwiedzone hiperłącze" xfId="13" builtinId="9" hidden="1"/>
    <cellStyle name="Odwiedzone hiperłącze" xfId="15" builtinId="9" hidden="1"/>
    <cellStyle name="Odwiedzone hiperłącze" xfId="17" builtinId="9" hidden="1"/>
    <cellStyle name="Odwiedzone hiperłącze" xfId="19" builtinId="9" hidden="1"/>
    <cellStyle name="Odwiedzone hiperłącze" xfId="21" builtinId="9" hidden="1"/>
    <cellStyle name="Odwiedzone hiperłącze" xfId="23" builtinId="9" hidden="1"/>
    <cellStyle name="Odwiedzone hiperłącze" xfId="25" builtinId="9" hidden="1"/>
    <cellStyle name="Odwiedzone hiperłącze" xfId="27" builtinId="9" hidden="1"/>
    <cellStyle name="Odwiedzone hiperłącze" xfId="29" builtinId="9" hidden="1"/>
    <cellStyle name="Odwiedzone hiperłącze" xfId="31" builtinId="9" hidden="1"/>
    <cellStyle name="Odwiedzone hiperłącze" xfId="33" builtinId="9" hidden="1"/>
    <cellStyle name="Odwiedzone hiperłącze" xfId="35" builtinId="9" hidden="1"/>
    <cellStyle name="Odwiedzone hiperłącze" xfId="37" builtinId="9" hidden="1"/>
    <cellStyle name="Odwiedzone hiperłącze" xfId="39" builtinId="9" hidden="1"/>
    <cellStyle name="Odwiedzone hiperłącze" xfId="41" builtinId="9" hidden="1"/>
    <cellStyle name="Odwiedzone hiperłącze" xfId="43" builtinId="9" hidden="1"/>
    <cellStyle name="Odwiedzone hiperłącze" xfId="45" builtinId="9" hidden="1"/>
    <cellStyle name="Odwiedzone hiperłącze" xfId="47" builtinId="9" hidden="1"/>
    <cellStyle name="Odwiedzone hiperłącze" xfId="49" builtinId="9" hidden="1"/>
    <cellStyle name="Odwiedzone hiperłącze" xfId="51" builtinId="9" hidden="1"/>
    <cellStyle name="Odwiedzone hiperłącze" xfId="53" builtinId="9" hidden="1"/>
    <cellStyle name="Odwiedzone hiperłącze" xfId="55" builtinId="9" hidden="1"/>
    <cellStyle name="Odwiedzone hiperłącze" xfId="57" builtinId="9" hidden="1"/>
    <cellStyle name="Odwiedzone hiperłącze" xfId="59" builtinId="9" hidden="1"/>
    <cellStyle name="Odwiedzone hiperłącze" xfId="61" builtinId="9" hidden="1"/>
    <cellStyle name="Odwiedzone hiperłącze" xfId="63" builtinId="9" hidden="1"/>
    <cellStyle name="Odwiedzone hiperłącze" xfId="65" builtinId="9" hidden="1"/>
    <cellStyle name="Odwiedzone hiperłącze" xfId="67" builtinId="9" hidden="1"/>
    <cellStyle name="Odwiedzone hiperłącze" xfId="69" builtinId="9" hidden="1"/>
    <cellStyle name="Odwiedzone hiperłącze" xfId="71" builtinId="9" hidden="1"/>
    <cellStyle name="Odwiedzone hiperłącze" xfId="73" builtinId="9" hidden="1"/>
    <cellStyle name="Odwiedzone hiperłącze" xfId="75" builtinId="9" hidden="1"/>
    <cellStyle name="Odwiedzone hiperłącze" xfId="77" builtinId="9" hidden="1"/>
    <cellStyle name="Odwiedzone hiperłącze" xfId="79" builtinId="9" hidden="1"/>
    <cellStyle name="Odwiedzone hiperłącze" xfId="81" builtinId="9" hidden="1"/>
    <cellStyle name="Odwiedzone hiperłącze" xfId="83" builtinId="9" hidden="1"/>
    <cellStyle name="Odwiedzone hiperłącze" xfId="85" builtinId="9" hidden="1"/>
    <cellStyle name="Odwiedzone hiperłącze" xfId="87" builtinId="9" hidden="1"/>
    <cellStyle name="Odwiedzone hiperłącze" xfId="89" builtinId="9" hidden="1"/>
    <cellStyle name="Odwiedzone hiperłącze" xfId="91" builtinId="9" hidden="1"/>
    <cellStyle name="Odwiedzone hiperłącze" xfId="93" builtinId="9" hidden="1"/>
    <cellStyle name="Odwiedzone hiperłącze" xfId="95" builtinId="9" hidden="1"/>
    <cellStyle name="Odwiedzone hiperłącze" xfId="97" builtinId="9" hidden="1"/>
    <cellStyle name="Odwiedzone hiperłącze" xfId="99" builtinId="9" hidden="1"/>
    <cellStyle name="Odwiedzone hiperłącze" xfId="101" builtinId="9" hidden="1"/>
    <cellStyle name="Odwiedzone hiperłącze" xfId="113" builtinId="9" hidden="1"/>
    <cellStyle name="Odwiedzone hiperłącze" xfId="115" builtinId="9" hidden="1"/>
    <cellStyle name="Odwiedzone hiperłącze" xfId="117" builtinId="9" hidden="1"/>
    <cellStyle name="Odwiedzone hiperłącze" xfId="119" builtinId="9" hidden="1"/>
    <cellStyle name="Odwiedzone hiperłącze" xfId="121" builtinId="9" hidden="1"/>
    <cellStyle name="Odwiedzone hiperłącze" xfId="123" builtinId="9" hidden="1"/>
    <cellStyle name="Odwiedzone hiperłącze" xfId="125" builtinId="9" hidden="1"/>
    <cellStyle name="Odwiedzone hiperłącze" xfId="127" builtinId="9" hidden="1"/>
    <cellStyle name="Odwiedzone hiperłącze" xfId="129" builtinId="9" hidden="1"/>
    <cellStyle name="Odwiedzone hiperłącze" xfId="131" builtinId="9" hidden="1"/>
    <cellStyle name="Odwiedzone hiperłącze" xfId="133" builtinId="9" hidden="1"/>
    <cellStyle name="Odwiedzone hiperłącze" xfId="135" builtinId="9" hidden="1"/>
    <cellStyle name="Odwiedzone hiperłącze" xfId="137" builtinId="9" hidden="1"/>
    <cellStyle name="Odwiedzone hiperłącze" xfId="139" builtinId="9" hidden="1"/>
    <cellStyle name="Odwiedzone hiperłącze" xfId="141" builtinId="9" hidden="1"/>
    <cellStyle name="Odwiedzone hiperłącze" xfId="143" builtinId="9" hidden="1"/>
    <cellStyle name="Odwiedzone hiperłącze" xfId="145" builtinId="9" hidden="1"/>
    <cellStyle name="Odwiedzone hiperłącze" xfId="147" builtinId="9" hidden="1"/>
    <cellStyle name="Odwiedzone hiperłącze" xfId="149" builtinId="9" hidden="1"/>
    <cellStyle name="style1458206720959" xfId="5" xr:uid="{00000000-0005-0000-0000-000083000000}"/>
    <cellStyle name="style1458206721059" xfId="6" xr:uid="{00000000-0005-0000-0000-000084000000}"/>
    <cellStyle name="style1458206721354" xfId="1" xr:uid="{00000000-0005-0000-0000-000085000000}"/>
    <cellStyle name="style1458206721440" xfId="3" xr:uid="{00000000-0005-0000-0000-000086000000}"/>
    <cellStyle name="style1458206721675" xfId="2" xr:uid="{00000000-0005-0000-0000-000087000000}"/>
    <cellStyle name="style1458206721802" xfId="4" xr:uid="{00000000-0005-0000-0000-000088000000}"/>
    <cellStyle name="style1485096869055" xfId="7" xr:uid="{00000000-0005-0000-0000-000089000000}"/>
    <cellStyle name="style1485096920615" xfId="8" xr:uid="{00000000-0005-0000-0000-00008A000000}"/>
    <cellStyle name="style1485096920823" xfId="9" xr:uid="{00000000-0005-0000-0000-00008B000000}"/>
    <cellStyle name="style1565290711725" xfId="102" xr:uid="{00000000-0005-0000-0000-00008C000000}"/>
    <cellStyle name="style1565290711863" xfId="103" xr:uid="{00000000-0005-0000-0000-00008D000000}"/>
    <cellStyle name="style1565290987334" xfId="104" xr:uid="{00000000-0005-0000-0000-00008E000000}"/>
    <cellStyle name="style1565290987496" xfId="105" xr:uid="{00000000-0005-0000-0000-00008F000000}"/>
    <cellStyle name="style1565331949392" xfId="108" xr:uid="{00000000-0005-0000-0000-000090000000}"/>
    <cellStyle name="style1565331949522" xfId="109" xr:uid="{00000000-0005-0000-0000-000091000000}"/>
    <cellStyle name="style1565331950042" xfId="106" xr:uid="{00000000-0005-0000-0000-000092000000}"/>
    <cellStyle name="style1565331950173" xfId="107" xr:uid="{00000000-0005-0000-0000-000093000000}"/>
    <cellStyle name="style1565382561327" xfId="110" xr:uid="{00000000-0005-0000-0000-000094000000}"/>
    <cellStyle name="style1565382561610" xfId="111" xr:uid="{00000000-0005-0000-0000-000095000000}"/>
  </cellStyles>
  <dxfs count="84">
    <dxf>
      <numFmt numFmtId="165" formatCode="0.00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numFmt numFmtId="165" formatCode="0.000"/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numFmt numFmtId="1" formatCode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1" formatCode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166" formatCode="0.0000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166" formatCode="0.0000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166" formatCode="0.0000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" formatCode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1" formatCode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165" formatCode="0.00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165" formatCode="0.00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2" formatCode="0.0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1" formatCode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1" formatCode="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166" formatCode="0.00000"/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166" formatCode="0.0000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165" formatCode="0.000"/>
      <border diagonalUp="0" diagonalDown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0" formatCode="General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numFmt numFmtId="2" formatCode="0.00"/>
      <fill>
        <patternFill patternType="none">
          <bgColor auto="1"/>
        </patternFill>
      </fill>
      <border diagonalUp="0" diagonalDown="0" outline="0">
        <left style="thin">
          <color auto="1"/>
        </left>
        <right/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1" formatCode="0"/>
      <fill>
        <patternFill patternType="none">
          <bgColor auto="1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166" formatCode="0.00000"/>
      <fill>
        <patternFill patternType="none">
          <bgColor auto="1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166" formatCode="0.00000"/>
      <fill>
        <patternFill patternType="none">
          <bgColor auto="1"/>
        </patternFill>
      </fill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166" formatCode="0.00000"/>
      <fill>
        <patternFill patternType="none">
          <bgColor auto="1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167" formatCode="0.0"/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167" formatCode="0.0"/>
      <fill>
        <patternFill patternType="none">
          <bgColor auto="1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2" formatCode="0.00"/>
      <fill>
        <patternFill patternType="none">
          <bgColor auto="1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2" formatCode="0.00"/>
      <fill>
        <patternFill patternType="none">
          <bgColor auto="1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numFmt numFmtId="1" formatCode="0"/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1" formatCode="0"/>
      <fill>
        <patternFill patternType="none">
          <bgColor auto="1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166" formatCode="0.00000"/>
      <fill>
        <patternFill patternType="none">
          <bgColor auto="1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166" formatCode="0.00000"/>
      <fill>
        <patternFill patternType="none">
          <bgColor auto="1"/>
        </patternFill>
      </fill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165" formatCode="0.000"/>
      <fill>
        <patternFill patternType="none">
          <bgColor auto="1"/>
        </patternFill>
      </fill>
      <border diagonalUp="0" diagonalDown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numFmt numFmtId="0" formatCode="General"/>
      <fill>
        <patternFill patternType="none">
          <bgColor auto="1"/>
        </patternFill>
      </fill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auto="1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color auto="1"/>
      </font>
      <numFmt numFmtId="166" formatCode="0.00000"/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numFmt numFmtId="165" formatCode="0.000"/>
      <fill>
        <patternFill patternType="none">
          <fgColor indexed="64"/>
          <bgColor auto="1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numFmt numFmtId="2" formatCode="0.00"/>
      <fill>
        <patternFill patternType="none">
          <fgColor indexed="64"/>
          <bgColor auto="1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5" formatCode="0.000"/>
      <fill>
        <patternFill patternType="none">
          <fgColor indexed="64"/>
          <bgColor indexed="65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#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</font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0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Medium7"/>
  <colors>
    <mruColors>
      <color rgb="FFC35C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0000000}" name="Tabela58" displayName="Tabela58" ref="A2:J132" totalsRowShown="0" headerRowDxfId="83" dataDxfId="81" headerRowBorderDxfId="82" tableBorderDxfId="80" totalsRowBorderDxfId="79">
  <autoFilter ref="A2:J132" xr:uid="{00000000-0009-0000-0100-000007000000}"/>
  <sortState xmlns:xlrd2="http://schemas.microsoft.com/office/spreadsheetml/2017/richdata2" ref="A2:J131">
    <sortCondition ref="A1:A131"/>
  </sortState>
  <tableColumns count="10">
    <tableColumn id="1" xr3:uid="{00000000-0010-0000-0000-000001000000}" name="ID" dataDxfId="78"/>
    <tableColumn id="2" xr3:uid="{00000000-0010-0000-0000-000002000000}" name="Country coding: ISO 3166-1" dataDxfId="77"/>
    <tableColumn id="3" xr3:uid="{00000000-0010-0000-0000-000003000000}" name="Country" dataDxfId="76"/>
    <tableColumn id="4" xr3:uid="{00000000-0010-0000-0000-000004000000}" name="ESS Round" dataDxfId="75"/>
    <tableColumn id="5" xr3:uid="{00000000-0010-0000-0000-000005000000}" name="Type of sample" dataDxfId="74" dataCellStyle="style1458206721802"/>
    <tableColumn id="6" xr3:uid="{00000000-0010-0000-0000-000006000000}" name="%_females_hh_total" dataDxfId="73"/>
    <tableColumn id="7" xr3:uid="{00000000-0010-0000-0000-000007000000}" name="n_hh_total" dataDxfId="72"/>
    <tableColumn id="12" xr3:uid="{00000000-0010-0000-0000-00000C000000}" name="Abs_Bias(hh_total)" dataDxfId="71">
      <calculatedColumnFormula>ABS(Tabela58[[#This Row],[ESi(hh_total)]])/SQRT(0.25/Tabela58[[#This Row],[n_hh_total]])</calculatedColumnFormula>
    </tableColumn>
    <tableColumn id="13" xr3:uid="{00000000-0010-0000-0000-00000D000000}" name="ESi(hh_total)" dataDxfId="70">
      <calculatedColumnFormula>Tabela58[[#This Row],[%_females_hh_total]]-0.5</calculatedColumnFormula>
    </tableColumn>
    <tableColumn id="18" xr3:uid="{00000000-0010-0000-0000-000012000000}" name="Var(hh=total)" dataDxfId="69">
      <calculatedColumnFormula>Tabela58[[#This Row],[%_females_hh_total]]*(1-Tabela58[[#This Row],[%_females_hh_total]])/Tabela58[[#This Row],[n_hh_total]]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ela715" displayName="Tabela715" ref="L4:Z82" totalsRowCount="1" headerRowDxfId="68" dataDxfId="66" headerRowBorderDxfId="67" tableBorderDxfId="65" totalsRowBorderDxfId="64">
  <autoFilter ref="L4:Z81" xr:uid="{00000000-0009-0000-0100-000008000000}"/>
  <tableColumns count="15">
    <tableColumn id="1" xr3:uid="{00000000-0010-0000-0100-000001000000}" name="ID" totalsRowLabel="Suma" dataDxfId="63" totalsRowDxfId="62"/>
    <tableColumn id="2" xr3:uid="{00000000-0010-0000-0100-000002000000}" name="Country coding: ISO 3166-1" dataDxfId="61" totalsRowDxfId="60"/>
    <tableColumn id="3" xr3:uid="{00000000-0010-0000-0100-000003000000}" name="Type of sample" dataDxfId="59" totalsRowDxfId="58"/>
    <tableColumn id="4" xr3:uid="{00000000-0010-0000-0100-000004000000}" name="ESi " dataDxfId="57" totalsRowDxfId="56">
      <calculatedColumnFormula>VLOOKUP(Tabela715[[#This Row],[ID]],Tabela58[],9,0)</calculatedColumnFormula>
    </tableColumn>
    <tableColumn id="5" xr3:uid="{00000000-0010-0000-0100-000005000000}" name="Variance" dataDxfId="55" totalsRowDxfId="54">
      <calculatedColumnFormula>VLOOKUP(Tabela715[[#This Row],[ID]],Tabela58[],10,0)</calculatedColumnFormula>
    </tableColumn>
    <tableColumn id="6" xr3:uid="{00000000-0010-0000-0100-000006000000}" name="Variance within" dataDxfId="53" totalsRowDxfId="52">
      <calculatedColumnFormula>Tabela715[[#This Row],[Variance]]</calculatedColumnFormula>
    </tableColumn>
    <tableColumn id="7" xr3:uid="{00000000-0010-0000-0100-000007000000}" name="wi" totalsRowFunction="sum" dataDxfId="51" totalsRowDxfId="50">
      <calculatedColumnFormula>1/Tabela715[[#This Row],[Variance within]]</calculatedColumnFormula>
    </tableColumn>
    <tableColumn id="8" xr3:uid="{00000000-0010-0000-0100-000008000000}" name="ESi*wi" totalsRowFunction="sum" dataDxfId="49" totalsRowDxfId="48">
      <calculatedColumnFormula>Tabela715[[#This Row],[ESi ]]*Tabela715[[#This Row],[wi]]</calculatedColumnFormula>
    </tableColumn>
    <tableColumn id="9" xr3:uid="{00000000-0010-0000-0100-000009000000}" name="ESi^2*wi" totalsRowFunction="sum" dataDxfId="47" totalsRowDxfId="46">
      <calculatedColumnFormula>Tabela715[[#This Row],[ESi ]]^2*Tabela715[[#This Row],[wi]]</calculatedColumnFormula>
    </tableColumn>
    <tableColumn id="10" xr3:uid="{00000000-0010-0000-0100-00000A000000}" name="wi^2" totalsRowFunction="sum" dataDxfId="45" totalsRowDxfId="44">
      <calculatedColumnFormula>Tabela715[[#This Row],[wi]]^2</calculatedColumnFormula>
    </tableColumn>
    <tableColumn id="11" xr3:uid="{00000000-0010-0000-0100-00000B000000}" name="Variance within2" dataDxfId="43" totalsRowDxfId="42">
      <calculatedColumnFormula>Tabela715[[#This Row],[Variance]]</calculatedColumnFormula>
    </tableColumn>
    <tableColumn id="12" xr3:uid="{00000000-0010-0000-0100-00000C000000}" name="Variance between" dataDxfId="41" totalsRowDxfId="40">
      <calculatedColumnFormula>$U$90</calculatedColumnFormula>
    </tableColumn>
    <tableColumn id="13" xr3:uid="{00000000-0010-0000-0100-00000D000000}" name="Variance total" dataDxfId="39" totalsRowDxfId="38">
      <calculatedColumnFormula>Tabela715[[#This Row],[Variance within2]]+Tabela715[[#This Row],[Variance between]]</calculatedColumnFormula>
    </tableColumn>
    <tableColumn id="14" xr3:uid="{00000000-0010-0000-0100-00000E000000}" name="wi'" totalsRowFunction="sum" dataDxfId="37" totalsRowDxfId="36">
      <calculatedColumnFormula>1/Tabela715[[#This Row],[Variance total]]</calculatedColumnFormula>
    </tableColumn>
    <tableColumn id="15" xr3:uid="{00000000-0010-0000-0100-00000F000000}" name="ESi*wi'" totalsRowFunction="sum" dataDxfId="35" totalsRowDxfId="34">
      <calculatedColumnFormula>Tabela715[[#This Row],[ESi ]]*Tabela715[[#This Row],[wi'']]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ela816" displayName="Tabela816" ref="L105:Z159" totalsRowCount="1" headerRowDxfId="33" headerRowBorderDxfId="32" tableBorderDxfId="31" totalsRowBorderDxfId="30">
  <autoFilter ref="L105:Z158" xr:uid="{00000000-0009-0000-0100-000009000000}"/>
  <tableColumns count="15">
    <tableColumn id="1" xr3:uid="{00000000-0010-0000-0200-000001000000}" name="ID" totalsRowLabel="Suma" dataDxfId="29" totalsRowDxfId="28"/>
    <tableColumn id="2" xr3:uid="{00000000-0010-0000-0200-000002000000}" name="Country coding: ISO 3166-1" dataDxfId="27" totalsRowDxfId="26"/>
    <tableColumn id="3" xr3:uid="{00000000-0010-0000-0200-000003000000}" name="Type of sample" dataDxfId="25" totalsRowDxfId="24"/>
    <tableColumn id="4" xr3:uid="{00000000-0010-0000-0200-000004000000}" name="ESi " dataDxfId="23" totalsRowDxfId="22">
      <calculatedColumnFormula>VLOOKUP(Tabela816[[#This Row],[ID]],Tabela58[],9,0)</calculatedColumnFormula>
    </tableColumn>
    <tableColumn id="5" xr3:uid="{00000000-0010-0000-0200-000005000000}" name="Variance" dataDxfId="21" totalsRowDxfId="20">
      <calculatedColumnFormula>VLOOKUP(Tabela816[[#This Row],[ID]],Tabela58[],10,0)</calculatedColumnFormula>
    </tableColumn>
    <tableColumn id="6" xr3:uid="{00000000-0010-0000-0200-000006000000}" name="Variance within" dataDxfId="19" totalsRowDxfId="18">
      <calculatedColumnFormula>Tabela816[[#This Row],[Variance]]</calculatedColumnFormula>
    </tableColumn>
    <tableColumn id="7" xr3:uid="{00000000-0010-0000-0200-000007000000}" name="wi" totalsRowFunction="sum" dataDxfId="17" totalsRowDxfId="16">
      <calculatedColumnFormula>1/Tabela816[[#This Row],[Variance within]]</calculatedColumnFormula>
    </tableColumn>
    <tableColumn id="8" xr3:uid="{00000000-0010-0000-0200-000008000000}" name="ESi*wi" totalsRowFunction="sum" dataDxfId="15" totalsRowDxfId="14">
      <calculatedColumnFormula>Tabela816[[#This Row],[ESi ]]*Tabela816[[#This Row],[wi]]</calculatedColumnFormula>
    </tableColumn>
    <tableColumn id="9" xr3:uid="{00000000-0010-0000-0200-000009000000}" name="ESi^2*wi" totalsRowFunction="sum" dataDxfId="13" totalsRowDxfId="12">
      <calculatedColumnFormula>Tabela816[[#This Row],[ESi ]]^2*Tabela816[[#This Row],[wi]]</calculatedColumnFormula>
    </tableColumn>
    <tableColumn id="10" xr3:uid="{00000000-0010-0000-0200-00000A000000}" name="wi^2" totalsRowFunction="sum" dataDxfId="11" totalsRowDxfId="10">
      <calculatedColumnFormula>Tabela816[[#This Row],[wi]]^2</calculatedColumnFormula>
    </tableColumn>
    <tableColumn id="11" xr3:uid="{00000000-0010-0000-0200-00000B000000}" name="Variance within2" dataDxfId="9" totalsRowDxfId="8">
      <calculatedColumnFormula>Tabela816[[#This Row],[Variance]]</calculatedColumnFormula>
    </tableColumn>
    <tableColumn id="12" xr3:uid="{00000000-0010-0000-0200-00000C000000}" name="Variance between" dataDxfId="7" totalsRowDxfId="6">
      <calculatedColumnFormula>$U$167</calculatedColumnFormula>
    </tableColumn>
    <tableColumn id="13" xr3:uid="{00000000-0010-0000-0200-00000D000000}" name="Variance total" dataDxfId="5" totalsRowDxfId="4">
      <calculatedColumnFormula>Tabela816[[#This Row],[Variance within2]]+Tabela816[[#This Row],[Variance between]]</calculatedColumnFormula>
    </tableColumn>
    <tableColumn id="14" xr3:uid="{00000000-0010-0000-0200-00000E000000}" name="wi'" totalsRowFunction="sum" dataDxfId="3" totalsRowDxfId="2">
      <calculatedColumnFormula>1/Tabela816[[#This Row],[Variance total]]</calculatedColumnFormula>
    </tableColumn>
    <tableColumn id="15" xr3:uid="{00000000-0010-0000-0200-00000F000000}" name="ESi*wi'" totalsRowFunction="sum" dataDxfId="1" totalsRowDxfId="0">
      <calculatedColumnFormula>Tabela816[[#This Row],[ESi ]]*Tabela816[[#This Row],[wi'']]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69"/>
  <sheetViews>
    <sheetView tabSelected="1" workbookViewId="0">
      <selection sqref="A1:B1"/>
    </sheetView>
  </sheetViews>
  <sheetFormatPr baseColWidth="10" defaultRowHeight="16" x14ac:dyDescent="0.2"/>
  <cols>
    <col min="1" max="1" width="8.83203125" bestFit="1" customWidth="1"/>
    <col min="2" max="2" width="28.33203125" bestFit="1" customWidth="1"/>
    <col min="3" max="3" width="13" bestFit="1" customWidth="1"/>
    <col min="4" max="4" width="15.5" bestFit="1" customWidth="1"/>
    <col min="5" max="5" width="18.5" bestFit="1" customWidth="1"/>
    <col min="6" max="6" width="22.5" bestFit="1" customWidth="1"/>
    <col min="7" max="7" width="14.83203125" bestFit="1" customWidth="1"/>
    <col min="8" max="8" width="22.1640625" bestFit="1" customWidth="1"/>
    <col min="9" max="9" width="17.1640625" bestFit="1" customWidth="1"/>
    <col min="10" max="10" width="17.1640625" customWidth="1"/>
    <col min="13" max="13" width="27.83203125" customWidth="1"/>
    <col min="14" max="14" width="19" customWidth="1"/>
    <col min="15" max="15" width="9.33203125" bestFit="1" customWidth="1"/>
    <col min="16" max="16" width="13.6640625" bestFit="1" customWidth="1"/>
    <col min="17" max="17" width="19.5" bestFit="1" customWidth="1"/>
    <col min="18" max="18" width="8.33203125" bestFit="1" customWidth="1"/>
    <col min="19" max="19" width="12.33203125" bestFit="1" customWidth="1"/>
    <col min="20" max="21" width="13.83203125" bestFit="1" customWidth="1"/>
    <col min="22" max="22" width="20.5" bestFit="1" customWidth="1"/>
    <col min="23" max="23" width="21.5" bestFit="1" customWidth="1"/>
    <col min="24" max="24" width="18.1640625" bestFit="1" customWidth="1"/>
    <col min="25" max="25" width="9.6640625" bestFit="1" customWidth="1"/>
    <col min="26" max="26" width="13.83203125" bestFit="1" customWidth="1"/>
  </cols>
  <sheetData>
    <row r="1" spans="1:26" ht="17" thickBot="1" x14ac:dyDescent="0.25">
      <c r="A1" s="83" t="s">
        <v>219</v>
      </c>
      <c r="B1" s="83"/>
      <c r="L1" s="83" t="s">
        <v>220</v>
      </c>
      <c r="M1" s="83"/>
    </row>
    <row r="2" spans="1:26" ht="18" thickBot="1" x14ac:dyDescent="0.25">
      <c r="A2" s="6" t="s">
        <v>51</v>
      </c>
      <c r="B2" s="3" t="s">
        <v>0</v>
      </c>
      <c r="C2" s="3" t="s">
        <v>28</v>
      </c>
      <c r="D2" s="7" t="s">
        <v>2</v>
      </c>
      <c r="E2" s="7" t="s">
        <v>1</v>
      </c>
      <c r="F2" s="3" t="s">
        <v>183</v>
      </c>
      <c r="G2" s="3" t="s">
        <v>182</v>
      </c>
      <c r="H2" s="4" t="s">
        <v>184</v>
      </c>
      <c r="I2" s="5" t="s">
        <v>185</v>
      </c>
      <c r="J2" s="5" t="s">
        <v>186</v>
      </c>
      <c r="O2" s="74" t="s">
        <v>187</v>
      </c>
      <c r="P2" s="75"/>
      <c r="Q2" s="75"/>
      <c r="R2" s="75"/>
      <c r="S2" s="75"/>
      <c r="T2" s="75"/>
      <c r="U2" s="75"/>
      <c r="V2" s="75"/>
      <c r="W2" s="75"/>
      <c r="X2" s="75"/>
      <c r="Y2" s="75"/>
      <c r="Z2" s="76"/>
    </row>
    <row r="3" spans="1:26" x14ac:dyDescent="0.2">
      <c r="A3" s="8" t="s">
        <v>52</v>
      </c>
      <c r="B3" s="9" t="s">
        <v>3</v>
      </c>
      <c r="C3" s="9" t="s">
        <v>29</v>
      </c>
      <c r="D3" s="10" t="s">
        <v>4</v>
      </c>
      <c r="E3" s="11" t="s">
        <v>48</v>
      </c>
      <c r="F3" s="22">
        <v>0.50591363750420226</v>
      </c>
      <c r="G3" s="12">
        <v>859</v>
      </c>
      <c r="H3" s="24">
        <f>ABS(Tabela58[[#This Row],[ESi(hh_total)]])/SQRT(0.25/Tabela58[[#This Row],[n_hh_total]])</f>
        <v>0.34664207608552888</v>
      </c>
      <c r="I3" s="22">
        <f>Tabela58[[#This Row],[%_females_hh_total]]-0.5</f>
        <v>5.9136375042022626E-3</v>
      </c>
      <c r="J3" s="21">
        <f>Tabela58[[#This Row],[%_females_hh_total]]*(1-Tabela58[[#This Row],[%_females_hh_total]])/Tabela58[[#This Row],[n_hh_total]]</f>
        <v>2.9099537705642482E-4</v>
      </c>
      <c r="O3" s="77" t="s">
        <v>188</v>
      </c>
      <c r="P3" s="78"/>
      <c r="Q3" s="79" t="s">
        <v>189</v>
      </c>
      <c r="R3" s="80"/>
      <c r="S3" s="81"/>
      <c r="T3" s="79" t="s">
        <v>190</v>
      </c>
      <c r="U3" s="81"/>
      <c r="V3" s="79" t="s">
        <v>191</v>
      </c>
      <c r="W3" s="80"/>
      <c r="X3" s="80"/>
      <c r="Y3" s="80"/>
      <c r="Z3" s="81"/>
    </row>
    <row r="4" spans="1:26" ht="17" x14ac:dyDescent="0.2">
      <c r="A4" s="8" t="s">
        <v>53</v>
      </c>
      <c r="B4" s="9" t="s">
        <v>3</v>
      </c>
      <c r="C4" s="9" t="s">
        <v>29</v>
      </c>
      <c r="D4" s="10" t="s">
        <v>23</v>
      </c>
      <c r="E4" s="11" t="s">
        <v>48</v>
      </c>
      <c r="F4" s="22">
        <v>0.55384615384615343</v>
      </c>
      <c r="G4" s="12">
        <v>715</v>
      </c>
      <c r="H4" s="24">
        <f>ABS(Tabela58[[#This Row],[ESi(hh_total)]])/SQRT(0.25/Tabela58[[#This Row],[n_hh_total]])</f>
        <v>2.8796367292260259</v>
      </c>
      <c r="I4" s="22">
        <f>Tabela58[[#This Row],[%_females_hh_total]]-0.5</f>
        <v>5.3846153846153433E-2</v>
      </c>
      <c r="J4" s="21">
        <f>Tabela58[[#This Row],[%_females_hh_total]]*(1-Tabela58[[#This Row],[%_females_hh_total]])/Tabela58[[#This Row],[n_hh_total]]</f>
        <v>3.4559523316919774E-4</v>
      </c>
      <c r="L4" s="26" t="s">
        <v>51</v>
      </c>
      <c r="M4" s="27" t="s">
        <v>0</v>
      </c>
      <c r="N4" s="28" t="s">
        <v>1</v>
      </c>
      <c r="O4" s="29" t="s">
        <v>192</v>
      </c>
      <c r="P4" s="30" t="s">
        <v>193</v>
      </c>
      <c r="Q4" s="30" t="s">
        <v>194</v>
      </c>
      <c r="R4" s="30" t="s">
        <v>195</v>
      </c>
      <c r="S4" s="30" t="s">
        <v>196</v>
      </c>
      <c r="T4" s="30" t="s">
        <v>197</v>
      </c>
      <c r="U4" s="30" t="s">
        <v>198</v>
      </c>
      <c r="V4" s="30" t="s">
        <v>199</v>
      </c>
      <c r="W4" s="30" t="s">
        <v>200</v>
      </c>
      <c r="X4" s="30" t="s">
        <v>201</v>
      </c>
      <c r="Y4" s="30" t="s">
        <v>202</v>
      </c>
      <c r="Z4" s="31" t="s">
        <v>203</v>
      </c>
    </row>
    <row r="5" spans="1:26" x14ac:dyDescent="0.2">
      <c r="A5" s="8" t="s">
        <v>54</v>
      </c>
      <c r="B5" s="9" t="s">
        <v>3</v>
      </c>
      <c r="C5" s="9" t="s">
        <v>29</v>
      </c>
      <c r="D5" s="10" t="s">
        <v>24</v>
      </c>
      <c r="E5" s="11" t="s">
        <v>48</v>
      </c>
      <c r="F5" s="22">
        <v>0.54380664652567867</v>
      </c>
      <c r="G5" s="12">
        <v>813</v>
      </c>
      <c r="H5" s="24">
        <f>ABS(Tabela58[[#This Row],[ESi(hh_total)]])/SQRT(0.25/Tabela58[[#This Row],[n_hh_total]])</f>
        <v>2.4981313924598436</v>
      </c>
      <c r="I5" s="22">
        <f>Tabela58[[#This Row],[%_females_hh_total]]-0.5</f>
        <v>4.3806646525678672E-2</v>
      </c>
      <c r="J5" s="21">
        <f>Tabela58[[#This Row],[%_females_hh_total]]*(1-Tabela58[[#This Row],[%_females_hh_total]])/Tabela58[[#This Row],[n_hh_total]]</f>
        <v>3.0514265402235456E-4</v>
      </c>
      <c r="L5" s="8" t="s">
        <v>57</v>
      </c>
      <c r="M5" s="9" t="s">
        <v>3</v>
      </c>
      <c r="N5" s="32" t="s">
        <v>6</v>
      </c>
      <c r="O5" s="33">
        <f>VLOOKUP(Tabela715[[#This Row],[ID]],Tabela58[],9,0)</f>
        <v>-1.5231169377817599E-2</v>
      </c>
      <c r="P5" s="34">
        <f>VLOOKUP(Tabela715[[#This Row],[ID]],Tabela58[],10,0)</f>
        <v>3.4883800485947515E-4</v>
      </c>
      <c r="Q5" s="34">
        <f>Tabela715[[#This Row],[Variance]]</f>
        <v>3.4883800485947515E-4</v>
      </c>
      <c r="R5" s="35">
        <f>1/Tabela715[[#This Row],[Variance within]]</f>
        <v>2866.6601289697119</v>
      </c>
      <c r="S5" s="36">
        <f>Tabela715[[#This Row],[ESi ]]*Tabela715[[#This Row],[wi]]</f>
        <v>-43.662585972974128</v>
      </c>
      <c r="T5" s="36">
        <f>Tabela715[[#This Row],[ESi ]]^2*Tabela715[[#This Row],[wi]]</f>
        <v>0.66503224242789183</v>
      </c>
      <c r="U5" s="37">
        <f>Tabela715[[#This Row],[wi]]^2</f>
        <v>8217740.2950246455</v>
      </c>
      <c r="V5" s="34">
        <f>Tabela715[[#This Row],[Variance]]</f>
        <v>3.4883800485947515E-4</v>
      </c>
      <c r="W5" s="34">
        <f t="shared" ref="W5:W68" si="0">$U$90</f>
        <v>2.7734826316427039E-4</v>
      </c>
      <c r="X5" s="34">
        <f>Tabela715[[#This Row],[Variance within2]]+Tabela715[[#This Row],[Variance between]]</f>
        <v>6.2618626802374549E-4</v>
      </c>
      <c r="Y5" s="35">
        <f>1/Tabela715[[#This Row],[Variance total]]</f>
        <v>1596.9689069612098</v>
      </c>
      <c r="Z5" s="38">
        <f>Tabela715[[#This Row],[ESi ]]*Tabela715[[#This Row],[wi'']]</f>
        <v>-24.323703913034421</v>
      </c>
    </row>
    <row r="6" spans="1:26" x14ac:dyDescent="0.2">
      <c r="A6" s="8" t="s">
        <v>55</v>
      </c>
      <c r="B6" s="9" t="s">
        <v>3</v>
      </c>
      <c r="C6" s="13" t="s">
        <v>29</v>
      </c>
      <c r="D6" s="10" t="s">
        <v>25</v>
      </c>
      <c r="E6" s="11" t="s">
        <v>48</v>
      </c>
      <c r="F6" s="22">
        <v>0.51928020565552813</v>
      </c>
      <c r="G6" s="12">
        <v>778</v>
      </c>
      <c r="H6" s="24">
        <f>ABS(Tabela58[[#This Row],[ESi(hh_total)]])/SQRT(0.25/Tabela58[[#This Row],[n_hh_total]])</f>
        <v>1.0755521090731752</v>
      </c>
      <c r="I6" s="22">
        <f>Tabela58[[#This Row],[%_females_hh_total]]-0.5</f>
        <v>1.9280205655528126E-2</v>
      </c>
      <c r="J6" s="21">
        <f>Tabela58[[#This Row],[%_females_hh_total]]*(1-Tabela58[[#This Row],[%_females_hh_total]])/Tabela58[[#This Row],[n_hh_total]]</f>
        <v>3.2085896358596475E-4</v>
      </c>
      <c r="L6" s="8" t="s">
        <v>58</v>
      </c>
      <c r="M6" s="9" t="s">
        <v>5</v>
      </c>
      <c r="N6" s="32" t="s">
        <v>6</v>
      </c>
      <c r="O6" s="33">
        <f>VLOOKUP(Tabela715[[#This Row],[ID]],Tabela58[],9,0)</f>
        <v>-2.3035230352303759E-2</v>
      </c>
      <c r="P6" s="34">
        <f>VLOOKUP(Tabela715[[#This Row],[ID]],Tabela58[],10,0)</f>
        <v>3.3803438775422269E-4</v>
      </c>
      <c r="Q6" s="34">
        <f>Tabela715[[#This Row],[Variance]]</f>
        <v>3.3803438775422269E-4</v>
      </c>
      <c r="R6" s="35">
        <f>1/Tabela715[[#This Row],[Variance within]]</f>
        <v>2958.2789095619405</v>
      </c>
      <c r="S6" s="36">
        <f>Tabela715[[#This Row],[ESi ]]*Tabela715[[#This Row],[wi]]</f>
        <v>-68.144636128121277</v>
      </c>
      <c r="T6" s="36">
        <f>Tabela715[[#This Row],[ESi ]]^2*Tabela715[[#This Row],[wi]]</f>
        <v>1.5697273904851945</v>
      </c>
      <c r="U6" s="37">
        <f>Tabela715[[#This Row],[wi]]^2</f>
        <v>8751414.1067589838</v>
      </c>
      <c r="V6" s="34">
        <f>Tabela715[[#This Row],[Variance]]</f>
        <v>3.3803438775422269E-4</v>
      </c>
      <c r="W6" s="34">
        <f t="shared" si="0"/>
        <v>2.7734826316427039E-4</v>
      </c>
      <c r="X6" s="34">
        <f>Tabela715[[#This Row],[Variance within2]]+Tabela715[[#This Row],[Variance between]]</f>
        <v>6.1538265091849308E-4</v>
      </c>
      <c r="Y6" s="35">
        <f>1/Tabela715[[#This Row],[Variance total]]</f>
        <v>1625.0051874349138</v>
      </c>
      <c r="Z6" s="38">
        <f>Tabela715[[#This Row],[ESi ]]*Tabela715[[#This Row],[wi'']]</f>
        <v>-37.432368816251788</v>
      </c>
    </row>
    <row r="7" spans="1:26" x14ac:dyDescent="0.2">
      <c r="A7" s="8" t="s">
        <v>56</v>
      </c>
      <c r="B7" s="9" t="s">
        <v>3</v>
      </c>
      <c r="C7" s="13" t="s">
        <v>29</v>
      </c>
      <c r="D7" s="10" t="s">
        <v>26</v>
      </c>
      <c r="E7" s="11" t="s">
        <v>48</v>
      </c>
      <c r="F7" s="22">
        <v>0.49378418697165538</v>
      </c>
      <c r="G7" s="12">
        <v>797</v>
      </c>
      <c r="H7" s="24">
        <f>ABS(Tabela58[[#This Row],[ESi(hh_total)]])/SQRT(0.25/Tabela58[[#This Row],[n_hh_total]])</f>
        <v>0.3509595776602254</v>
      </c>
      <c r="I7" s="22">
        <f>Tabela58[[#This Row],[%_females_hh_total]]-0.5</f>
        <v>-6.2158130283446189E-3</v>
      </c>
      <c r="J7" s="21">
        <f>Tabela58[[#This Row],[%_females_hh_total]]*(1-Tabela58[[#This Row],[%_females_hh_total]])/Tabela58[[#This Row],[n_hh_total]]</f>
        <v>3.1362780886875363E-4</v>
      </c>
      <c r="L7" s="8" t="s">
        <v>59</v>
      </c>
      <c r="M7" s="9" t="s">
        <v>5</v>
      </c>
      <c r="N7" s="32" t="s">
        <v>6</v>
      </c>
      <c r="O7" s="33">
        <f>VLOOKUP(Tabela715[[#This Row],[ID]],Tabela58[],9,0)</f>
        <v>-2.252252252252257E-2</v>
      </c>
      <c r="P7" s="34">
        <f>VLOOKUP(Tabela715[[#This Row],[ID]],Tabela58[],10,0)</f>
        <v>3.210974723027316E-4</v>
      </c>
      <c r="Q7" s="34">
        <f>Tabela715[[#This Row],[Variance]]</f>
        <v>3.210974723027316E-4</v>
      </c>
      <c r="R7" s="35">
        <f>1/Tabela715[[#This Row],[Variance within]]</f>
        <v>3114.3191281717632</v>
      </c>
      <c r="S7" s="36">
        <f>Tabela715[[#This Row],[ESi ]]*Tabela715[[#This Row],[wi]]</f>
        <v>-70.142322706571392</v>
      </c>
      <c r="T7" s="36">
        <f>Tabela715[[#This Row],[ESi ]]^2*Tabela715[[#This Row],[wi]]</f>
        <v>1.5797820429408005</v>
      </c>
      <c r="U7" s="37">
        <f>Tabela715[[#This Row],[wi]]^2</f>
        <v>9698983.6320965309</v>
      </c>
      <c r="V7" s="34">
        <f>Tabela715[[#This Row],[Variance]]</f>
        <v>3.210974723027316E-4</v>
      </c>
      <c r="W7" s="34">
        <f t="shared" si="0"/>
        <v>2.7734826316427039E-4</v>
      </c>
      <c r="X7" s="34">
        <f>Tabela715[[#This Row],[Variance within2]]+Tabela715[[#This Row],[Variance between]]</f>
        <v>5.9844573546700194E-4</v>
      </c>
      <c r="Y7" s="35">
        <f>1/Tabela715[[#This Row],[Variance total]]</f>
        <v>1670.9952811672088</v>
      </c>
      <c r="Z7" s="38">
        <f>Tabela715[[#This Row],[ESi ]]*Tabela715[[#This Row],[wi'']]</f>
        <v>-37.63502885511739</v>
      </c>
    </row>
    <row r="8" spans="1:26" x14ac:dyDescent="0.2">
      <c r="A8" s="8" t="s">
        <v>57</v>
      </c>
      <c r="B8" s="9" t="s">
        <v>3</v>
      </c>
      <c r="C8" s="13" t="s">
        <v>29</v>
      </c>
      <c r="D8" s="10" t="s">
        <v>47</v>
      </c>
      <c r="E8" s="11" t="s">
        <v>6</v>
      </c>
      <c r="F8" s="22">
        <v>0.4847688306221824</v>
      </c>
      <c r="G8" s="12">
        <v>716</v>
      </c>
      <c r="H8" s="24">
        <f>ABS(Tabela58[[#This Row],[ESi(hh_total)]])/SQRT(0.25/Tabela58[[#This Row],[n_hh_total]])</f>
        <v>0.8151166315586752</v>
      </c>
      <c r="I8" s="22">
        <f>Tabela58[[#This Row],[%_females_hh_total]]-0.5</f>
        <v>-1.5231169377817599E-2</v>
      </c>
      <c r="J8" s="21">
        <f>Tabela58[[#This Row],[%_females_hh_total]]*(1-Tabela58[[#This Row],[%_females_hh_total]])/Tabela58[[#This Row],[n_hh_total]]</f>
        <v>3.4883800485947515E-4</v>
      </c>
      <c r="L8" s="8" t="s">
        <v>60</v>
      </c>
      <c r="M8" s="9" t="s">
        <v>5</v>
      </c>
      <c r="N8" s="32" t="s">
        <v>6</v>
      </c>
      <c r="O8" s="33">
        <f>VLOOKUP(Tabela715[[#This Row],[ID]],Tabela58[],9,0)</f>
        <v>2.4590163934425924E-2</v>
      </c>
      <c r="P8" s="34">
        <f>VLOOKUP(Tabela715[[#This Row],[ID]],Tabela58[],10,0)</f>
        <v>3.144959947511703E-4</v>
      </c>
      <c r="Q8" s="34">
        <f>Tabela715[[#This Row],[Variance]]</f>
        <v>3.144959947511703E-4</v>
      </c>
      <c r="R8" s="35">
        <f>1/Tabela715[[#This Row],[Variance within]]</f>
        <v>3179.6907327586205</v>
      </c>
      <c r="S8" s="36">
        <f>Tabela715[[#This Row],[ESi ]]*Tabela715[[#This Row],[wi]]</f>
        <v>78.189116379309368</v>
      </c>
      <c r="T8" s="36">
        <f>Tabela715[[#This Row],[ESi ]]^2*Tabela715[[#This Row],[wi]]</f>
        <v>1.9226831896551244</v>
      </c>
      <c r="U8" s="37">
        <f>Tabela715[[#This Row],[wi]]^2</f>
        <v>10110433.155991053</v>
      </c>
      <c r="V8" s="34">
        <f>Tabela715[[#This Row],[Variance]]</f>
        <v>3.144959947511703E-4</v>
      </c>
      <c r="W8" s="34">
        <f t="shared" si="0"/>
        <v>2.7734826316427039E-4</v>
      </c>
      <c r="X8" s="34">
        <f>Tabela715[[#This Row],[Variance within2]]+Tabela715[[#This Row],[Variance between]]</f>
        <v>5.9184425791544075E-4</v>
      </c>
      <c r="Y8" s="35">
        <f>1/Tabela715[[#This Row],[Variance total]]</f>
        <v>1689.6336943812576</v>
      </c>
      <c r="Z8" s="38">
        <f>Tabela715[[#This Row],[ESi ]]*Tabela715[[#This Row],[wi'']]</f>
        <v>41.548369533964831</v>
      </c>
    </row>
    <row r="9" spans="1:26" x14ac:dyDescent="0.2">
      <c r="A9" s="8" t="s">
        <v>58</v>
      </c>
      <c r="B9" s="9" t="s">
        <v>5</v>
      </c>
      <c r="C9" s="9" t="s">
        <v>30</v>
      </c>
      <c r="D9" s="10" t="s">
        <v>4</v>
      </c>
      <c r="E9" s="14" t="s">
        <v>6</v>
      </c>
      <c r="F9" s="22">
        <v>0.47696476964769624</v>
      </c>
      <c r="G9" s="12">
        <v>738</v>
      </c>
      <c r="H9" s="24">
        <f>ABS(Tabela58[[#This Row],[ESi(hh_total)]])/SQRT(0.25/Tabela58[[#This Row],[n_hh_total]])</f>
        <v>1.2515572955149403</v>
      </c>
      <c r="I9" s="22">
        <f>Tabela58[[#This Row],[%_females_hh_total]]-0.5</f>
        <v>-2.3035230352303759E-2</v>
      </c>
      <c r="J9" s="21">
        <f>Tabela58[[#This Row],[%_females_hh_total]]*(1-Tabela58[[#This Row],[%_females_hh_total]])/Tabela58[[#This Row],[n_hh_total]]</f>
        <v>3.3803438775422269E-4</v>
      </c>
      <c r="L9" s="8" t="s">
        <v>61</v>
      </c>
      <c r="M9" s="9" t="s">
        <v>5</v>
      </c>
      <c r="N9" s="32" t="s">
        <v>6</v>
      </c>
      <c r="O9" s="33">
        <f>VLOOKUP(Tabela715[[#This Row],[ID]],Tabela58[],9,0)</f>
        <v>-1.8985843306623063E-2</v>
      </c>
      <c r="P9" s="34">
        <f>VLOOKUP(Tabela715[[#This Row],[ID]],Tabela58[],10,0)</f>
        <v>3.3152661056299644E-4</v>
      </c>
      <c r="Q9" s="34">
        <f>Tabela715[[#This Row],[Variance]]</f>
        <v>3.3152661056299644E-4</v>
      </c>
      <c r="R9" s="35">
        <f>1/Tabela715[[#This Row],[Variance within]]</f>
        <v>3016.3491199147065</v>
      </c>
      <c r="S9" s="36">
        <f>Tabela715[[#This Row],[ESi ]]*Tabela715[[#This Row],[wi]]</f>
        <v>-57.267931748770998</v>
      </c>
      <c r="T9" s="36">
        <f>Tabela715[[#This Row],[ESi ]]^2*Tabela715[[#This Row],[wi]]</f>
        <v>1.0872799786765501</v>
      </c>
      <c r="U9" s="37">
        <f>Tabela715[[#This Row],[wi]]^2</f>
        <v>9098362.013210224</v>
      </c>
      <c r="V9" s="34">
        <f>Tabela715[[#This Row],[Variance]]</f>
        <v>3.3152661056299644E-4</v>
      </c>
      <c r="W9" s="34">
        <f t="shared" si="0"/>
        <v>2.7734826316427039E-4</v>
      </c>
      <c r="X9" s="34">
        <f>Tabela715[[#This Row],[Variance within2]]+Tabela715[[#This Row],[Variance between]]</f>
        <v>6.0887487372726689E-4</v>
      </c>
      <c r="Y9" s="35">
        <f>1/Tabela715[[#This Row],[Variance total]]</f>
        <v>1642.3735699232182</v>
      </c>
      <c r="Z9" s="38">
        <f>Tabela715[[#This Row],[ESi ]]*Tabela715[[#This Row],[wi'']]</f>
        <v>-31.181847249501356</v>
      </c>
    </row>
    <row r="10" spans="1:26" x14ac:dyDescent="0.2">
      <c r="A10" s="8" t="s">
        <v>59</v>
      </c>
      <c r="B10" s="9" t="s">
        <v>5</v>
      </c>
      <c r="C10" s="9" t="s">
        <v>30</v>
      </c>
      <c r="D10" s="10" t="s">
        <v>23</v>
      </c>
      <c r="E10" s="15" t="s">
        <v>6</v>
      </c>
      <c r="F10" s="22">
        <v>0.47747747747747743</v>
      </c>
      <c r="G10" s="12">
        <v>777</v>
      </c>
      <c r="H10" s="24">
        <f>ABS(Tabela58[[#This Row],[ESi(hh_total)]])/SQRT(0.25/Tabela58[[#This Row],[n_hh_total]])</f>
        <v>1.2556180058348092</v>
      </c>
      <c r="I10" s="22">
        <f>Tabela58[[#This Row],[%_females_hh_total]]-0.5</f>
        <v>-2.252252252252257E-2</v>
      </c>
      <c r="J10" s="21">
        <f>Tabela58[[#This Row],[%_females_hh_total]]*(1-Tabela58[[#This Row],[%_females_hh_total]])/Tabela58[[#This Row],[n_hh_total]]</f>
        <v>3.210974723027316E-4</v>
      </c>
      <c r="L10" s="8" t="s">
        <v>62</v>
      </c>
      <c r="M10" s="9" t="s">
        <v>5</v>
      </c>
      <c r="N10" s="32" t="s">
        <v>6</v>
      </c>
      <c r="O10" s="33">
        <f>VLOOKUP(Tabela715[[#This Row],[ID]],Tabela58[],9,0)</f>
        <v>3.9999999999994484E-3</v>
      </c>
      <c r="P10" s="34">
        <f>VLOOKUP(Tabela715[[#This Row],[ID]],Tabela58[],10,0)</f>
        <v>3.33312E-4</v>
      </c>
      <c r="Q10" s="34">
        <f>Tabela715[[#This Row],[Variance]]</f>
        <v>3.33312E-4</v>
      </c>
      <c r="R10" s="35">
        <f>1/Tabela715[[#This Row],[Variance within]]</f>
        <v>3000.1920122887864</v>
      </c>
      <c r="S10" s="36">
        <f>Tabela715[[#This Row],[ESi ]]*Tabela715[[#This Row],[wi]]</f>
        <v>12.000768049153491</v>
      </c>
      <c r="T10" s="36">
        <f>Tabela715[[#This Row],[ESi ]]^2*Tabela715[[#This Row],[wi]]</f>
        <v>4.8003072196607342E-2</v>
      </c>
      <c r="U10" s="37">
        <f>Tabela715[[#This Row],[wi]]^2</f>
        <v>9001152.1106014382</v>
      </c>
      <c r="V10" s="34">
        <f>Tabela715[[#This Row],[Variance]]</f>
        <v>3.33312E-4</v>
      </c>
      <c r="W10" s="34">
        <f t="shared" si="0"/>
        <v>2.7734826316427039E-4</v>
      </c>
      <c r="X10" s="34">
        <f>Tabela715[[#This Row],[Variance within2]]+Tabela715[[#This Row],[Variance between]]</f>
        <v>6.1066026316427039E-4</v>
      </c>
      <c r="Y10" s="35">
        <f>1/Tabela715[[#This Row],[Variance total]]</f>
        <v>1637.5717568689997</v>
      </c>
      <c r="Z10" s="38">
        <f>Tabela715[[#This Row],[ESi ]]*Tabela715[[#This Row],[wi'']]</f>
        <v>6.5502870274750959</v>
      </c>
    </row>
    <row r="11" spans="1:26" x14ac:dyDescent="0.2">
      <c r="A11" s="8" t="s">
        <v>60</v>
      </c>
      <c r="B11" s="9" t="s">
        <v>5</v>
      </c>
      <c r="C11" s="9" t="s">
        <v>30</v>
      </c>
      <c r="D11" s="10" t="s">
        <v>24</v>
      </c>
      <c r="E11" s="15" t="s">
        <v>6</v>
      </c>
      <c r="F11" s="22">
        <v>0.52459016393442592</v>
      </c>
      <c r="G11" s="12">
        <v>793</v>
      </c>
      <c r="H11" s="24">
        <f>ABS(Tabela58[[#This Row],[ESi(hh_total)]])/SQRT(0.25/Tabela58[[#This Row],[n_hh_total]])</f>
        <v>1.384930607245431</v>
      </c>
      <c r="I11" s="22">
        <f>Tabela58[[#This Row],[%_females_hh_total]]-0.5</f>
        <v>2.4590163934425924E-2</v>
      </c>
      <c r="J11" s="21">
        <f>Tabela58[[#This Row],[%_females_hh_total]]*(1-Tabela58[[#This Row],[%_females_hh_total]])/Tabela58[[#This Row],[n_hh_total]]</f>
        <v>3.144959947511703E-4</v>
      </c>
      <c r="L11" s="8" t="s">
        <v>63</v>
      </c>
      <c r="M11" s="9" t="s">
        <v>5</v>
      </c>
      <c r="N11" s="32" t="s">
        <v>6</v>
      </c>
      <c r="O11" s="33">
        <f>VLOOKUP(Tabela715[[#This Row],[ID]],Tabela58[],9,0)</f>
        <v>-3.6585365853658181E-2</v>
      </c>
      <c r="P11" s="34">
        <f>VLOOKUP(Tabela715[[#This Row],[ID]],Tabela58[],10,0)</f>
        <v>3.1920604750366365E-4</v>
      </c>
      <c r="Q11" s="34">
        <f>Tabela715[[#This Row],[Variance]]</f>
        <v>3.1920604750366365E-4</v>
      </c>
      <c r="R11" s="35">
        <f>1/Tabela715[[#This Row],[Variance within]]</f>
        <v>3132.772727272727</v>
      </c>
      <c r="S11" s="36">
        <f>Tabela715[[#This Row],[ESi ]]*Tabela715[[#This Row],[wi]]</f>
        <v>-114.61363636363524</v>
      </c>
      <c r="T11" s="36">
        <f>Tabela715[[#This Row],[ESi ]]^2*Tabela715[[#This Row],[wi]]</f>
        <v>4.1931818181817366</v>
      </c>
      <c r="U11" s="37">
        <f>Tabela715[[#This Row],[wi]]^2</f>
        <v>9814264.9607437998</v>
      </c>
      <c r="V11" s="34">
        <f>Tabela715[[#This Row],[Variance]]</f>
        <v>3.1920604750366365E-4</v>
      </c>
      <c r="W11" s="34">
        <f t="shared" si="0"/>
        <v>2.7734826316427039E-4</v>
      </c>
      <c r="X11" s="34">
        <f>Tabela715[[#This Row],[Variance within2]]+Tabela715[[#This Row],[Variance between]]</f>
        <v>5.9655431066793409E-4</v>
      </c>
      <c r="Y11" s="35">
        <f>1/Tabela715[[#This Row],[Variance total]]</f>
        <v>1676.2933099592333</v>
      </c>
      <c r="Z11" s="38">
        <f>Tabela715[[#This Row],[ESi ]]*Tabela715[[#This Row],[wi'']]</f>
        <v>-61.327804022898185</v>
      </c>
    </row>
    <row r="12" spans="1:26" x14ac:dyDescent="0.2">
      <c r="A12" s="8" t="s">
        <v>61</v>
      </c>
      <c r="B12" s="9" t="s">
        <v>5</v>
      </c>
      <c r="C12" s="9" t="s">
        <v>30</v>
      </c>
      <c r="D12" s="10" t="s">
        <v>25</v>
      </c>
      <c r="E12" s="15" t="s">
        <v>6</v>
      </c>
      <c r="F12" s="22">
        <v>0.48101415669337694</v>
      </c>
      <c r="G12" s="12">
        <v>753</v>
      </c>
      <c r="H12" s="24">
        <f>ABS(Tabela58[[#This Row],[ESi(hh_total)]])/SQRT(0.25/Tabela58[[#This Row],[n_hh_total]])</f>
        <v>1.041975184514341</v>
      </c>
      <c r="I12" s="22">
        <f>Tabela58[[#This Row],[%_females_hh_total]]-0.5</f>
        <v>-1.8985843306623063E-2</v>
      </c>
      <c r="J12" s="21">
        <f>Tabela58[[#This Row],[%_females_hh_total]]*(1-Tabela58[[#This Row],[%_females_hh_total]])/Tabela58[[#This Row],[n_hh_total]]</f>
        <v>3.3152661056299644E-4</v>
      </c>
      <c r="L12" s="8" t="s">
        <v>64</v>
      </c>
      <c r="M12" s="9" t="s">
        <v>5</v>
      </c>
      <c r="N12" s="32" t="s">
        <v>6</v>
      </c>
      <c r="O12" s="33">
        <f>VLOOKUP(Tabela715[[#This Row],[ID]],Tabela58[],9,0)</f>
        <v>-2.0314547837483599E-2</v>
      </c>
      <c r="P12" s="34">
        <f>VLOOKUP(Tabela715[[#This Row],[ID]],Tabela58[],10,0)</f>
        <v>3.271131312531567E-4</v>
      </c>
      <c r="Q12" s="34">
        <f>Tabela715[[#This Row],[Variance]]</f>
        <v>3.271131312531567E-4</v>
      </c>
      <c r="R12" s="35">
        <f>1/Tabela715[[#This Row],[Variance within]]</f>
        <v>3057.0463379719486</v>
      </c>
      <c r="S12" s="36">
        <f>Tabela715[[#This Row],[ESi ]]*Tabela715[[#This Row],[wi]]</f>
        <v>-62.1025140741352</v>
      </c>
      <c r="T12" s="36">
        <f>Tabela715[[#This Row],[ESi ]]^2*Tabela715[[#This Row],[wi]]</f>
        <v>1.2615844929870179</v>
      </c>
      <c r="U12" s="37">
        <f>Tabela715[[#This Row],[wi]]^2</f>
        <v>9345532.312507702</v>
      </c>
      <c r="V12" s="34">
        <f>Tabela715[[#This Row],[Variance]]</f>
        <v>3.271131312531567E-4</v>
      </c>
      <c r="W12" s="34">
        <f t="shared" si="0"/>
        <v>2.7734826316427039E-4</v>
      </c>
      <c r="X12" s="34">
        <f>Tabela715[[#This Row],[Variance within2]]+Tabela715[[#This Row],[Variance between]]</f>
        <v>6.0446139441742703E-4</v>
      </c>
      <c r="Y12" s="35">
        <f>1/Tabela715[[#This Row],[Variance total]]</f>
        <v>1654.3653726038012</v>
      </c>
      <c r="Z12" s="38">
        <f>Tabela715[[#This Row],[ESi ]]*Tabela715[[#This Row],[wi'']]</f>
        <v>-33.6076845024363</v>
      </c>
    </row>
    <row r="13" spans="1:26" x14ac:dyDescent="0.2">
      <c r="A13" s="8" t="s">
        <v>62</v>
      </c>
      <c r="B13" s="9" t="s">
        <v>5</v>
      </c>
      <c r="C13" s="9" t="s">
        <v>30</v>
      </c>
      <c r="D13" s="10" t="s">
        <v>26</v>
      </c>
      <c r="E13" s="15" t="s">
        <v>6</v>
      </c>
      <c r="F13" s="22">
        <v>0.50399999999999945</v>
      </c>
      <c r="G13" s="12">
        <v>750</v>
      </c>
      <c r="H13" s="24">
        <f>ABS(Tabela58[[#This Row],[ESi(hh_total)]])/SQRT(0.25/Tabela58[[#This Row],[n_hh_total]])</f>
        <v>0.21908902300203625</v>
      </c>
      <c r="I13" s="22">
        <f>Tabela58[[#This Row],[%_females_hh_total]]-0.5</f>
        <v>3.9999999999994484E-3</v>
      </c>
      <c r="J13" s="21">
        <f>Tabela58[[#This Row],[%_females_hh_total]]*(1-Tabela58[[#This Row],[%_females_hh_total]])/Tabela58[[#This Row],[n_hh_total]]</f>
        <v>3.33312E-4</v>
      </c>
      <c r="L13" s="8" t="s">
        <v>173</v>
      </c>
      <c r="M13" s="9" t="s">
        <v>7</v>
      </c>
      <c r="N13" s="32" t="s">
        <v>6</v>
      </c>
      <c r="O13" s="33">
        <f>VLOOKUP(Tabela715[[#This Row],[ID]],Tabela58[],9,0)</f>
        <v>-3.7249283667621591E-2</v>
      </c>
      <c r="P13" s="34">
        <f>VLOOKUP(Tabela715[[#This Row],[ID]],Tabela58[],10,0)</f>
        <v>3.5617835367657459E-4</v>
      </c>
      <c r="Q13" s="34">
        <f>Tabela715[[#This Row],[Variance]]</f>
        <v>3.5617835367657459E-4</v>
      </c>
      <c r="R13" s="35">
        <f>1/Tabela715[[#This Row],[Variance within]]</f>
        <v>2807.5821836945302</v>
      </c>
      <c r="S13" s="36">
        <f>Tabela715[[#This Row],[ESi ]]*Tabela715[[#This Row],[wi]]</f>
        <v>-104.58042518059803</v>
      </c>
      <c r="T13" s="36">
        <f>Tabela715[[#This Row],[ESi ]]^2*Tabela715[[#This Row],[wi]]</f>
        <v>3.8955459236325716</v>
      </c>
      <c r="U13" s="37">
        <f>Tabela715[[#This Row],[wi]]^2</f>
        <v>7882517.7181989467</v>
      </c>
      <c r="V13" s="34">
        <f>Tabela715[[#This Row],[Variance]]</f>
        <v>3.5617835367657459E-4</v>
      </c>
      <c r="W13" s="34">
        <f t="shared" si="0"/>
        <v>2.7734826316427039E-4</v>
      </c>
      <c r="X13" s="34">
        <f>Tabela715[[#This Row],[Variance within2]]+Tabela715[[#This Row],[Variance between]]</f>
        <v>6.3352661684084504E-4</v>
      </c>
      <c r="Y13" s="35">
        <f>1/Tabela715[[#This Row],[Variance total]]</f>
        <v>1578.4656451951737</v>
      </c>
      <c r="Z13" s="38">
        <f>Tabela715[[#This Row],[ESi ]]*Tabela715[[#This Row],[wi'']]</f>
        <v>-58.796714577470361</v>
      </c>
    </row>
    <row r="14" spans="1:26" x14ac:dyDescent="0.2">
      <c r="A14" s="8" t="s">
        <v>63</v>
      </c>
      <c r="B14" s="9" t="s">
        <v>5</v>
      </c>
      <c r="C14" s="9" t="s">
        <v>30</v>
      </c>
      <c r="D14" s="10" t="s">
        <v>27</v>
      </c>
      <c r="E14" s="15" t="s">
        <v>6</v>
      </c>
      <c r="F14" s="22">
        <v>0.46341463414634182</v>
      </c>
      <c r="G14" s="12">
        <v>779</v>
      </c>
      <c r="H14" s="24">
        <f>ABS(Tabela58[[#This Row],[ESi(hh_total)]])/SQRT(0.25/Tabela58[[#This Row],[n_hh_total]])</f>
        <v>2.0422369371150335</v>
      </c>
      <c r="I14" s="22">
        <f>Tabela58[[#This Row],[%_females_hh_total]]-0.5</f>
        <v>-3.6585365853658181E-2</v>
      </c>
      <c r="J14" s="21">
        <f>Tabela58[[#This Row],[%_females_hh_total]]*(1-Tabela58[[#This Row],[%_females_hh_total]])/Tabela58[[#This Row],[n_hh_total]]</f>
        <v>3.1920604750366365E-4</v>
      </c>
      <c r="L14" s="8" t="s">
        <v>174</v>
      </c>
      <c r="M14" s="9" t="s">
        <v>7</v>
      </c>
      <c r="N14" s="32" t="s">
        <v>6</v>
      </c>
      <c r="O14" s="33">
        <f>VLOOKUP(Tabela715[[#This Row],[ID]],Tabela58[],9,0)</f>
        <v>1.3031550068587361E-2</v>
      </c>
      <c r="P14" s="34">
        <f>VLOOKUP(Tabela715[[#This Row],[ID]],Tabela58[],10,0)</f>
        <v>3.4270257709576117E-4</v>
      </c>
      <c r="Q14" s="34">
        <f>Tabela715[[#This Row],[Variance]]</f>
        <v>3.4270257709576117E-4</v>
      </c>
      <c r="R14" s="35">
        <f>1/Tabela715[[#This Row],[Variance within]]</f>
        <v>2917.9821420501621</v>
      </c>
      <c r="S14" s="36">
        <f>Tabela715[[#This Row],[ESi ]]*Tabela715[[#This Row],[wi]]</f>
        <v>38.025830383370483</v>
      </c>
      <c r="T14" s="36">
        <f>Tabela715[[#This Row],[ESi ]]^2*Tabela715[[#This Row],[wi]]</f>
        <v>0.49553551254050299</v>
      </c>
      <c r="U14" s="37">
        <f>Tabela715[[#This Row],[wi]]^2</f>
        <v>8514619.7813236527</v>
      </c>
      <c r="V14" s="34">
        <f>Tabela715[[#This Row],[Variance]]</f>
        <v>3.4270257709576117E-4</v>
      </c>
      <c r="W14" s="34">
        <f t="shared" si="0"/>
        <v>2.7734826316427039E-4</v>
      </c>
      <c r="X14" s="34">
        <f>Tabela715[[#This Row],[Variance within2]]+Tabela715[[#This Row],[Variance between]]</f>
        <v>6.200508402600315E-4</v>
      </c>
      <c r="Y14" s="35">
        <f>1/Tabela715[[#This Row],[Variance total]]</f>
        <v>1612.7709779098577</v>
      </c>
      <c r="Z14" s="38">
        <f>Tabela715[[#This Row],[ESi ]]*Tabela715[[#This Row],[wi'']]</f>
        <v>21.016905747796912</v>
      </c>
    </row>
    <row r="15" spans="1:26" x14ac:dyDescent="0.2">
      <c r="A15" s="8" t="s">
        <v>64</v>
      </c>
      <c r="B15" s="9" t="s">
        <v>5</v>
      </c>
      <c r="C15" s="9" t="s">
        <v>30</v>
      </c>
      <c r="D15" s="10" t="s">
        <v>47</v>
      </c>
      <c r="E15" s="15" t="s">
        <v>6</v>
      </c>
      <c r="F15" s="22">
        <v>0.4796854521625164</v>
      </c>
      <c r="G15" s="12">
        <v>763</v>
      </c>
      <c r="H15" s="24">
        <f>ABS(Tabela58[[#This Row],[ESi(hh_total)]])/SQRT(0.25/Tabela58[[#This Row],[n_hh_total]])</f>
        <v>1.1222753520967934</v>
      </c>
      <c r="I15" s="22">
        <f>Tabela58[[#This Row],[%_females_hh_total]]-0.5</f>
        <v>-2.0314547837483599E-2</v>
      </c>
      <c r="J15" s="21">
        <f>Tabela58[[#This Row],[%_females_hh_total]]*(1-Tabela58[[#This Row],[%_females_hh_total]])/Tabela58[[#This Row],[n_hh_total]]</f>
        <v>3.271131312531567E-4</v>
      </c>
      <c r="L15" s="8" t="s">
        <v>98</v>
      </c>
      <c r="M15" s="9" t="s">
        <v>9</v>
      </c>
      <c r="N15" s="32" t="s">
        <v>6</v>
      </c>
      <c r="O15" s="33">
        <f>VLOOKUP(Tabela715[[#This Row],[ID]],Tabela58[],9,0)</f>
        <v>-3.0660868798138008E-3</v>
      </c>
      <c r="P15" s="34">
        <f>VLOOKUP(Tabela715[[#This Row],[ID]],Tabela58[],10,0)</f>
        <v>1.9156367747988156E-4</v>
      </c>
      <c r="Q15" s="34">
        <f>Tabela715[[#This Row],[Variance]]</f>
        <v>1.9156367747988156E-4</v>
      </c>
      <c r="R15" s="35">
        <f>1/Tabela715[[#This Row],[Variance within]]</f>
        <v>5220.1962979386954</v>
      </c>
      <c r="S15" s="36">
        <f>Tabela715[[#This Row],[ESi ]]*Tabela715[[#This Row],[wi]]</f>
        <v>-16.005575379162408</v>
      </c>
      <c r="T15" s="36">
        <f>Tabela715[[#This Row],[ESi ]]^2*Tabela715[[#This Row],[wi]]</f>
        <v>4.9074484673920657E-2</v>
      </c>
      <c r="U15" s="37">
        <f>Tabela715[[#This Row],[wi]]^2</f>
        <v>27250449.389012862</v>
      </c>
      <c r="V15" s="34">
        <f>Tabela715[[#This Row],[Variance]]</f>
        <v>1.9156367747988156E-4</v>
      </c>
      <c r="W15" s="34">
        <f t="shared" si="0"/>
        <v>2.7734826316427039E-4</v>
      </c>
      <c r="X15" s="34">
        <f>Tabela715[[#This Row],[Variance within2]]+Tabela715[[#This Row],[Variance between]]</f>
        <v>4.6891194064415195E-4</v>
      </c>
      <c r="Y15" s="35">
        <f>1/Tabela715[[#This Row],[Variance total]]</f>
        <v>2132.5965779977446</v>
      </c>
      <c r="Z15" s="38">
        <f>Tabela715[[#This Row],[ESi ]]*Tabela715[[#This Row],[wi'']]</f>
        <v>-6.5387263877346937</v>
      </c>
    </row>
    <row r="16" spans="1:26" x14ac:dyDescent="0.2">
      <c r="A16" s="8" t="s">
        <v>168</v>
      </c>
      <c r="B16" s="9" t="s">
        <v>7</v>
      </c>
      <c r="C16" s="9" t="s">
        <v>31</v>
      </c>
      <c r="D16" s="10" t="s">
        <v>4</v>
      </c>
      <c r="E16" s="11" t="s">
        <v>48</v>
      </c>
      <c r="F16" s="22">
        <v>0.4871983899978794</v>
      </c>
      <c r="G16" s="12">
        <v>928</v>
      </c>
      <c r="H16" s="24">
        <f>ABS(Tabela58[[#This Row],[ESi(hh_total)]])/SQRT(0.25/Tabela58[[#This Row],[n_hh_total]])</f>
        <v>0.77995325732726795</v>
      </c>
      <c r="I16" s="22">
        <f>Tabela58[[#This Row],[%_females_hh_total]]-0.5</f>
        <v>-1.28016100021206E-2</v>
      </c>
      <c r="J16" s="21">
        <f>Tabela58[[#This Row],[%_females_hh_total]]*(1-Tabela58[[#This Row],[%_females_hh_total]])/Tabela58[[#This Row],[n_hh_total]]</f>
        <v>2.6921995558335524E-4</v>
      </c>
      <c r="L16" s="8" t="s">
        <v>99</v>
      </c>
      <c r="M16" s="9" t="s">
        <v>9</v>
      </c>
      <c r="N16" s="32" t="s">
        <v>6</v>
      </c>
      <c r="O16" s="33">
        <f>VLOOKUP(Tabela715[[#This Row],[ID]],Tabela58[],9,0)</f>
        <v>1.97055674898301E-2</v>
      </c>
      <c r="P16" s="34">
        <f>VLOOKUP(Tabela715[[#This Row],[ID]],Tabela58[],10,0)</f>
        <v>1.9779056308233262E-4</v>
      </c>
      <c r="Q16" s="34">
        <f>Tabela715[[#This Row],[Variance]]</f>
        <v>1.9779056308233262E-4</v>
      </c>
      <c r="R16" s="35">
        <f>1/Tabela715[[#This Row],[Variance within]]</f>
        <v>5055.8529406872576</v>
      </c>
      <c r="S16" s="36">
        <f>Tabela715[[#This Row],[ESi ]]*Tabela715[[#This Row],[wi]]</f>
        <v>99.628451341368731</v>
      </c>
      <c r="T16" s="36">
        <f>Tabela715[[#This Row],[ESi ]]^2*Tabela715[[#This Row],[wi]]</f>
        <v>1.9632351718145957</v>
      </c>
      <c r="U16" s="37">
        <f>Tabela715[[#This Row],[wi]]^2</f>
        <v>25561648.957855992</v>
      </c>
      <c r="V16" s="34">
        <f>Tabela715[[#This Row],[Variance]]</f>
        <v>1.9779056308233262E-4</v>
      </c>
      <c r="W16" s="34">
        <f t="shared" si="0"/>
        <v>2.7734826316427039E-4</v>
      </c>
      <c r="X16" s="34">
        <f>Tabela715[[#This Row],[Variance within2]]+Tabela715[[#This Row],[Variance between]]</f>
        <v>4.7513882624660299E-4</v>
      </c>
      <c r="Y16" s="35">
        <f>1/Tabela715[[#This Row],[Variance total]]</f>
        <v>2104.6480412884371</v>
      </c>
      <c r="Z16" s="38">
        <f>Tabela715[[#This Row],[ESi ]]*Tabela715[[#This Row],[wi'']]</f>
        <v>41.473284019948025</v>
      </c>
    </row>
    <row r="17" spans="1:26" x14ac:dyDescent="0.2">
      <c r="A17" s="8" t="s">
        <v>169</v>
      </c>
      <c r="B17" s="9" t="s">
        <v>7</v>
      </c>
      <c r="C17" s="9" t="s">
        <v>31</v>
      </c>
      <c r="D17" s="10" t="s">
        <v>23</v>
      </c>
      <c r="E17" s="11" t="s">
        <v>48</v>
      </c>
      <c r="F17" s="22">
        <v>0.53134660178349069</v>
      </c>
      <c r="G17" s="12">
        <v>980</v>
      </c>
      <c r="H17" s="24">
        <f>ABS(Tabela58[[#This Row],[ESi(hh_total)]])/SQRT(0.25/Tabela58[[#This Row],[n_hh_total]])</f>
        <v>1.9626077086420373</v>
      </c>
      <c r="I17" s="22">
        <f>Tabela58[[#This Row],[%_females_hh_total]]-0.5</f>
        <v>3.1346601783490691E-2</v>
      </c>
      <c r="J17" s="21">
        <f>Tabela58[[#This Row],[%_females_hh_total]]*(1-Tabela58[[#This Row],[%_females_hh_total]])/Tabela58[[#This Row],[n_hh_total]]</f>
        <v>2.5409937811900739E-4</v>
      </c>
      <c r="L17" s="8" t="s">
        <v>100</v>
      </c>
      <c r="M17" s="9" t="s">
        <v>9</v>
      </c>
      <c r="N17" s="32" t="s">
        <v>6</v>
      </c>
      <c r="O17" s="33">
        <f>VLOOKUP(Tabela715[[#This Row],[ID]],Tabela58[],9,0)</f>
        <v>-2.19109848989818E-2</v>
      </c>
      <c r="P17" s="34">
        <f>VLOOKUP(Tabela715[[#This Row],[ID]],Tabela58[],10,0)</f>
        <v>1.9524249510231343E-4</v>
      </c>
      <c r="Q17" s="34">
        <f>Tabela715[[#This Row],[Variance]]</f>
        <v>1.9524249510231343E-4</v>
      </c>
      <c r="R17" s="35">
        <f>1/Tabela715[[#This Row],[Variance within]]</f>
        <v>5121.8357943846568</v>
      </c>
      <c r="S17" s="36">
        <f>Tabela715[[#This Row],[ESi ]]*Tabela715[[#This Row],[wi]]</f>
        <v>-112.22446674582666</v>
      </c>
      <c r="T17" s="36">
        <f>Tabela715[[#This Row],[ESi ]]^2*Tabela715[[#This Row],[wi]]</f>
        <v>2.4589485961640931</v>
      </c>
      <c r="U17" s="37">
        <f>Tabela715[[#This Row],[wi]]^2</f>
        <v>26233201.904639907</v>
      </c>
      <c r="V17" s="34">
        <f>Tabela715[[#This Row],[Variance]]</f>
        <v>1.9524249510231343E-4</v>
      </c>
      <c r="W17" s="34">
        <f t="shared" si="0"/>
        <v>2.7734826316427039E-4</v>
      </c>
      <c r="X17" s="34">
        <f>Tabela715[[#This Row],[Variance within2]]+Tabela715[[#This Row],[Variance between]]</f>
        <v>4.725907582665838E-4</v>
      </c>
      <c r="Y17" s="35">
        <f>1/Tabela715[[#This Row],[Variance total]]</f>
        <v>2115.9956738635797</v>
      </c>
      <c r="Z17" s="38">
        <f>Tabela715[[#This Row],[ESi ]]*Tabela715[[#This Row],[wi'']]</f>
        <v>-46.363549256335709</v>
      </c>
    </row>
    <row r="18" spans="1:26" x14ac:dyDescent="0.2">
      <c r="A18" s="8" t="s">
        <v>170</v>
      </c>
      <c r="B18" s="9" t="s">
        <v>7</v>
      </c>
      <c r="C18" s="9" t="s">
        <v>31</v>
      </c>
      <c r="D18" s="10" t="s">
        <v>24</v>
      </c>
      <c r="E18" s="11" t="s">
        <v>48</v>
      </c>
      <c r="F18" s="22">
        <v>0.50949112843564526</v>
      </c>
      <c r="G18" s="12">
        <v>853</v>
      </c>
      <c r="H18" s="24">
        <f>ABS(Tabela58[[#This Row],[ESi(hh_total)]])/SQRT(0.25/Tabela58[[#This Row],[n_hh_total]])</f>
        <v>0.55439890220516364</v>
      </c>
      <c r="I18" s="22">
        <f>Tabela58[[#This Row],[%_females_hh_total]]-0.5</f>
        <v>9.4911284356452574E-3</v>
      </c>
      <c r="J18" s="21">
        <f>Tabela58[[#This Row],[%_females_hh_total]]*(1-Tabela58[[#This Row],[%_females_hh_total]])/Tabela58[[#This Row],[n_hh_total]]</f>
        <v>2.9297763010670351E-4</v>
      </c>
      <c r="L18" s="8" t="s">
        <v>101</v>
      </c>
      <c r="M18" s="9" t="s">
        <v>9</v>
      </c>
      <c r="N18" s="32" t="s">
        <v>6</v>
      </c>
      <c r="O18" s="33">
        <f>VLOOKUP(Tabela715[[#This Row],[ID]],Tabela58[],9,0)</f>
        <v>-5.2347435102452933E-2</v>
      </c>
      <c r="P18" s="34">
        <f>VLOOKUP(Tabela715[[#This Row],[ID]],Tabela58[],10,0)</f>
        <v>1.9780779683055557E-4</v>
      </c>
      <c r="Q18" s="34">
        <f>Tabela715[[#This Row],[Variance]]</f>
        <v>1.9780779683055557E-4</v>
      </c>
      <c r="R18" s="35">
        <f>1/Tabela715[[#This Row],[Variance within]]</f>
        <v>5055.4124560449527</v>
      </c>
      <c r="S18" s="36">
        <f>Tabela715[[#This Row],[ESi ]]*Tabela715[[#This Row],[wi]]</f>
        <v>-264.63787545894536</v>
      </c>
      <c r="T18" s="36">
        <f>Tabela715[[#This Row],[ESi ]]^2*Tabela715[[#This Row],[wi]]</f>
        <v>13.853114011238162</v>
      </c>
      <c r="U18" s="37">
        <f>Tabela715[[#This Row],[wi]]^2</f>
        <v>25557195.100734461</v>
      </c>
      <c r="V18" s="34">
        <f>Tabela715[[#This Row],[Variance]]</f>
        <v>1.9780779683055557E-4</v>
      </c>
      <c r="W18" s="34">
        <f t="shared" si="0"/>
        <v>2.7734826316427039E-4</v>
      </c>
      <c r="X18" s="34">
        <f>Tabela715[[#This Row],[Variance within2]]+Tabela715[[#This Row],[Variance between]]</f>
        <v>4.7515605999482596E-4</v>
      </c>
      <c r="Y18" s="35">
        <f>1/Tabela715[[#This Row],[Variance total]]</f>
        <v>2104.5717064218629</v>
      </c>
      <c r="Z18" s="38">
        <f>Tabela715[[#This Row],[ESi ]]*Tabela715[[#This Row],[wi'']]</f>
        <v>-110.1689308203771</v>
      </c>
    </row>
    <row r="19" spans="1:26" x14ac:dyDescent="0.2">
      <c r="A19" s="8" t="s">
        <v>171</v>
      </c>
      <c r="B19" s="9" t="s">
        <v>7</v>
      </c>
      <c r="C19" s="9" t="s">
        <v>31</v>
      </c>
      <c r="D19" s="10" t="s">
        <v>25</v>
      </c>
      <c r="E19" s="11" t="s">
        <v>48</v>
      </c>
      <c r="F19" s="22">
        <v>0.50885422780611378</v>
      </c>
      <c r="G19" s="12">
        <v>733</v>
      </c>
      <c r="H19" s="24">
        <f>ABS(Tabela58[[#This Row],[ESi(hh_total)]])/SQRT(0.25/Tabela58[[#This Row],[n_hh_total]])</f>
        <v>0.47943824453706368</v>
      </c>
      <c r="I19" s="22">
        <f>Tabela58[[#This Row],[%_females_hh_total]]-0.5</f>
        <v>8.8542278061137791E-3</v>
      </c>
      <c r="J19" s="21">
        <f>Tabela58[[#This Row],[%_females_hh_total]]*(1-Tabela58[[#This Row],[%_females_hh_total]])/Tabela58[[#This Row],[n_hh_total]]</f>
        <v>3.4095716596174274E-4</v>
      </c>
      <c r="L19" s="8" t="s">
        <v>102</v>
      </c>
      <c r="M19" s="9" t="s">
        <v>9</v>
      </c>
      <c r="N19" s="32" t="s">
        <v>6</v>
      </c>
      <c r="O19" s="33">
        <f>VLOOKUP(Tabela715[[#This Row],[ID]],Tabela58[],9,0)</f>
        <v>-2.8221122550697086E-2</v>
      </c>
      <c r="P19" s="34">
        <f>VLOOKUP(Tabela715[[#This Row],[ID]],Tabela58[],10,0)</f>
        <v>1.8163525382068407E-4</v>
      </c>
      <c r="Q19" s="34">
        <f>Tabela715[[#This Row],[Variance]]</f>
        <v>1.8163525382068407E-4</v>
      </c>
      <c r="R19" s="35">
        <f>1/Tabela715[[#This Row],[Variance within]]</f>
        <v>5505.539144880051</v>
      </c>
      <c r="S19" s="36">
        <f>Tabela715[[#This Row],[ESi ]]*Tabela715[[#This Row],[wi]]</f>
        <v>-155.37249491531995</v>
      </c>
      <c r="T19" s="36">
        <f>Tabela715[[#This Row],[ESi ]]^2*Tabela715[[#This Row],[wi]]</f>
        <v>4.3847862200128045</v>
      </c>
      <c r="U19" s="37">
        <f>Tabela715[[#This Row],[wi]]^2</f>
        <v>30310961.275806565</v>
      </c>
      <c r="V19" s="34">
        <f>Tabela715[[#This Row],[Variance]]</f>
        <v>1.8163525382068407E-4</v>
      </c>
      <c r="W19" s="34">
        <f t="shared" si="0"/>
        <v>2.7734826316427039E-4</v>
      </c>
      <c r="X19" s="34">
        <f>Tabela715[[#This Row],[Variance within2]]+Tabela715[[#This Row],[Variance between]]</f>
        <v>4.5898351698495446E-4</v>
      </c>
      <c r="Y19" s="35">
        <f>1/Tabela715[[#This Row],[Variance total]]</f>
        <v>2178.7274771193584</v>
      </c>
      <c r="Z19" s="38">
        <f>Tabela715[[#This Row],[ESi ]]*Tabela715[[#This Row],[wi'']]</f>
        <v>-61.486135136356495</v>
      </c>
    </row>
    <row r="20" spans="1:26" x14ac:dyDescent="0.2">
      <c r="A20" s="8" t="s">
        <v>172</v>
      </c>
      <c r="B20" s="9" t="s">
        <v>7</v>
      </c>
      <c r="C20" s="9" t="s">
        <v>31</v>
      </c>
      <c r="D20" s="10" t="s">
        <v>26</v>
      </c>
      <c r="E20" s="11" t="s">
        <v>48</v>
      </c>
      <c r="F20" s="22">
        <v>0.47941176470588243</v>
      </c>
      <c r="G20" s="12">
        <v>680</v>
      </c>
      <c r="H20" s="24">
        <f>ABS(Tabela58[[#This Row],[ESi(hh_total)]])/SQRT(0.25/Tabela58[[#This Row],[n_hh_total]])</f>
        <v>1.0737509843863147</v>
      </c>
      <c r="I20" s="22">
        <f>Tabela58[[#This Row],[%_females_hh_total]]-0.5</f>
        <v>-2.0588235294117574E-2</v>
      </c>
      <c r="J20" s="21">
        <f>Tabela58[[#This Row],[%_females_hh_total]]*(1-Tabela58[[#This Row],[%_females_hh_total]])/Tabela58[[#This Row],[n_hh_total]]</f>
        <v>3.6702371259922655E-4</v>
      </c>
      <c r="L20" s="8" t="s">
        <v>103</v>
      </c>
      <c r="M20" s="9" t="s">
        <v>9</v>
      </c>
      <c r="N20" s="32" t="s">
        <v>6</v>
      </c>
      <c r="O20" s="33">
        <f>VLOOKUP(Tabela715[[#This Row],[ID]],Tabela58[],9,0)</f>
        <v>-2.734609382904446E-2</v>
      </c>
      <c r="P20" s="34">
        <f>VLOOKUP(Tabela715[[#This Row],[ID]],Tabela58[],10,0)</f>
        <v>1.8035614410440889E-4</v>
      </c>
      <c r="Q20" s="34">
        <f>Tabela715[[#This Row],[Variance]]</f>
        <v>1.8035614410440889E-4</v>
      </c>
      <c r="R20" s="35">
        <f>1/Tabela715[[#This Row],[Variance within]]</f>
        <v>5544.5851593561238</v>
      </c>
      <c r="S20" s="36">
        <f>Tabela715[[#This Row],[ESi ]]*Tabela715[[#This Row],[wi]]</f>
        <v>-151.62274601087998</v>
      </c>
      <c r="T20" s="36">
        <f>Tabela715[[#This Row],[ESi ]]^2*Tabela715[[#This Row],[wi]]</f>
        <v>4.1462898390309002</v>
      </c>
      <c r="U20" s="37">
        <f>Tabela715[[#This Row],[wi]]^2</f>
        <v>30742424.589352172</v>
      </c>
      <c r="V20" s="34">
        <f>Tabela715[[#This Row],[Variance]]</f>
        <v>1.8035614410440889E-4</v>
      </c>
      <c r="W20" s="34">
        <f t="shared" si="0"/>
        <v>2.7734826316427039E-4</v>
      </c>
      <c r="X20" s="34">
        <f>Tabela715[[#This Row],[Variance within2]]+Tabela715[[#This Row],[Variance between]]</f>
        <v>4.5770440726867925E-4</v>
      </c>
      <c r="Y20" s="35">
        <f>1/Tabela715[[#This Row],[Variance total]]</f>
        <v>2184.816191671463</v>
      </c>
      <c r="Z20" s="38">
        <f>Tabela715[[#This Row],[ESi ]]*Tabela715[[#This Row],[wi'']]</f>
        <v>-59.746188576663414</v>
      </c>
    </row>
    <row r="21" spans="1:26" x14ac:dyDescent="0.2">
      <c r="A21" s="8" t="s">
        <v>173</v>
      </c>
      <c r="B21" s="9" t="s">
        <v>7</v>
      </c>
      <c r="C21" s="9" t="s">
        <v>31</v>
      </c>
      <c r="D21" s="10" t="s">
        <v>27</v>
      </c>
      <c r="E21" s="15" t="s">
        <v>6</v>
      </c>
      <c r="F21" s="22">
        <v>0.46275071633237841</v>
      </c>
      <c r="G21" s="12">
        <v>698</v>
      </c>
      <c r="H21" s="24">
        <f>ABS(Tabela58[[#This Row],[ESi(hh_total)]])/SQRT(0.25/Tabela58[[#This Row],[n_hh_total]])</f>
        <v>1.968229026671598</v>
      </c>
      <c r="I21" s="22">
        <f>Tabela58[[#This Row],[%_females_hh_total]]-0.5</f>
        <v>-3.7249283667621591E-2</v>
      </c>
      <c r="J21" s="21">
        <f>Tabela58[[#This Row],[%_females_hh_total]]*(1-Tabela58[[#This Row],[%_females_hh_total]])/Tabela58[[#This Row],[n_hh_total]]</f>
        <v>3.5617835367657459E-4</v>
      </c>
      <c r="L21" s="8" t="s">
        <v>104</v>
      </c>
      <c r="M21" s="9" t="s">
        <v>9</v>
      </c>
      <c r="N21" s="32" t="s">
        <v>6</v>
      </c>
      <c r="O21" s="33">
        <f>VLOOKUP(Tabela715[[#This Row],[ID]],Tabela58[],9,0)</f>
        <v>-1.714107201112347E-2</v>
      </c>
      <c r="P21" s="34">
        <f>VLOOKUP(Tabela715[[#This Row],[ID]],Tabela58[],10,0)</f>
        <v>1.6860647106705569E-4</v>
      </c>
      <c r="Q21" s="34">
        <f>Tabela715[[#This Row],[Variance]]</f>
        <v>1.6860647106705569E-4</v>
      </c>
      <c r="R21" s="35">
        <f>1/Tabela715[[#This Row],[Variance within]]</f>
        <v>5930.9704643678515</v>
      </c>
      <c r="S21" s="36">
        <f>Tabela715[[#This Row],[ESi ]]*Tabela715[[#This Row],[wi]]</f>
        <v>-101.66319182557575</v>
      </c>
      <c r="T21" s="36">
        <f>Tabela715[[#This Row],[ESi ]]^2*Tabela715[[#This Row],[wi]]</f>
        <v>1.7426160919628531</v>
      </c>
      <c r="U21" s="37">
        <f>Tabela715[[#This Row],[wi]]^2</f>
        <v>35176410.649203807</v>
      </c>
      <c r="V21" s="34">
        <f>Tabela715[[#This Row],[Variance]]</f>
        <v>1.6860647106705569E-4</v>
      </c>
      <c r="W21" s="34">
        <f t="shared" si="0"/>
        <v>2.7734826316427039E-4</v>
      </c>
      <c r="X21" s="34">
        <f>Tabela715[[#This Row],[Variance within2]]+Tabela715[[#This Row],[Variance between]]</f>
        <v>4.4595473423132605E-4</v>
      </c>
      <c r="Y21" s="35">
        <f>1/Tabela715[[#This Row],[Variance total]]</f>
        <v>2242.3800516966348</v>
      </c>
      <c r="Z21" s="38">
        <f>Tabela715[[#This Row],[ESi ]]*Tabela715[[#This Row],[wi'']]</f>
        <v>-38.436797942438787</v>
      </c>
    </row>
    <row r="22" spans="1:26" x14ac:dyDescent="0.2">
      <c r="A22" s="8" t="s">
        <v>174</v>
      </c>
      <c r="B22" s="9" t="s">
        <v>7</v>
      </c>
      <c r="C22" s="9" t="s">
        <v>31</v>
      </c>
      <c r="D22" s="10" t="s">
        <v>47</v>
      </c>
      <c r="E22" s="15" t="s">
        <v>6</v>
      </c>
      <c r="F22" s="22">
        <v>0.51303155006858736</v>
      </c>
      <c r="G22" s="12">
        <v>729</v>
      </c>
      <c r="H22" s="24">
        <f>ABS(Tabela58[[#This Row],[ESi(hh_total)]])/SQRT(0.25/Tabela58[[#This Row],[n_hh_total]])</f>
        <v>0.70370370370371749</v>
      </c>
      <c r="I22" s="22">
        <f>Tabela58[[#This Row],[%_females_hh_total]]-0.5</f>
        <v>1.3031550068587361E-2</v>
      </c>
      <c r="J22" s="21">
        <f>Tabela58[[#This Row],[%_females_hh_total]]*(1-Tabela58[[#This Row],[%_females_hh_total]])/Tabela58[[#This Row],[n_hh_total]]</f>
        <v>3.4270257709576117E-4</v>
      </c>
      <c r="L22" s="8" t="s">
        <v>71</v>
      </c>
      <c r="M22" s="9" t="s">
        <v>10</v>
      </c>
      <c r="N22" s="32" t="s">
        <v>6</v>
      </c>
      <c r="O22" s="33">
        <f>VLOOKUP(Tabela715[[#This Row],[ID]],Tabela58[],9,0)</f>
        <v>-2.380952380952378E-2</v>
      </c>
      <c r="P22" s="34">
        <f>VLOOKUP(Tabela715[[#This Row],[ID]],Tabela58[],10,0)</f>
        <v>3.0455812768737935E-4</v>
      </c>
      <c r="Q22" s="34">
        <f>Tabela715[[#This Row],[Variance]]</f>
        <v>3.0455812768737935E-4</v>
      </c>
      <c r="R22" s="35">
        <f>1/Tabela715[[#This Row],[Variance within]]</f>
        <v>3283.445454545455</v>
      </c>
      <c r="S22" s="36">
        <f>Tabela715[[#This Row],[ESi ]]*Tabela715[[#This Row],[wi]]</f>
        <v>-78.177272727272637</v>
      </c>
      <c r="T22" s="36">
        <f>Tabela715[[#This Row],[ESi ]]^2*Tabela715[[#This Row],[wi]]</f>
        <v>1.8613636363636321</v>
      </c>
      <c r="U22" s="37">
        <f>Tabela715[[#This Row],[wi]]^2</f>
        <v>10781014.052975209</v>
      </c>
      <c r="V22" s="34">
        <f>Tabela715[[#This Row],[Variance]]</f>
        <v>3.0455812768737935E-4</v>
      </c>
      <c r="W22" s="34">
        <f t="shared" si="0"/>
        <v>2.7734826316427039E-4</v>
      </c>
      <c r="X22" s="34">
        <f>Tabela715[[#This Row],[Variance within2]]+Tabela715[[#This Row],[Variance between]]</f>
        <v>5.8190639085164975E-4</v>
      </c>
      <c r="Y22" s="35">
        <f>1/Tabela715[[#This Row],[Variance total]]</f>
        <v>1718.4894610565264</v>
      </c>
      <c r="Z22" s="38">
        <f>Tabela715[[#This Row],[ESi ]]*Tabela715[[#This Row],[wi'']]</f>
        <v>-40.916415739441057</v>
      </c>
    </row>
    <row r="23" spans="1:26" x14ac:dyDescent="0.2">
      <c r="A23" s="8" t="s">
        <v>65</v>
      </c>
      <c r="B23" s="9" t="s">
        <v>8</v>
      </c>
      <c r="C23" s="9" t="s">
        <v>32</v>
      </c>
      <c r="D23" s="10" t="s">
        <v>4</v>
      </c>
      <c r="E23" s="11" t="s">
        <v>48</v>
      </c>
      <c r="F23" s="22">
        <v>0.44520932994409479</v>
      </c>
      <c r="G23" s="12">
        <v>493</v>
      </c>
      <c r="H23" s="24">
        <f>ABS(Tabela58[[#This Row],[ESi(hh_total)]])/SQRT(0.25/Tabela58[[#This Row],[n_hh_total]])</f>
        <v>2.4331006061495346</v>
      </c>
      <c r="I23" s="22">
        <f>Tabela58[[#This Row],[%_females_hh_total]]-0.5</f>
        <v>-5.4790670055905211E-2</v>
      </c>
      <c r="J23" s="21">
        <f>Tabela58[[#This Row],[%_females_hh_total]]*(1-Tabela58[[#This Row],[%_females_hh_total]])/Tabela58[[#This Row],[n_hh_total]]</f>
        <v>5.0101010643980714E-4</v>
      </c>
      <c r="L23" s="8" t="s">
        <v>72</v>
      </c>
      <c r="M23" s="9" t="s">
        <v>10</v>
      </c>
      <c r="N23" s="32" t="s">
        <v>6</v>
      </c>
      <c r="O23" s="33">
        <f>VLOOKUP(Tabela715[[#This Row],[ID]],Tabela58[],9,0)</f>
        <v>8.9974293059130739E-3</v>
      </c>
      <c r="P23" s="34">
        <f>VLOOKUP(Tabela715[[#This Row],[ID]],Tabela58[],10,0)</f>
        <v>3.2123270728262864E-4</v>
      </c>
      <c r="Q23" s="34">
        <f>Tabela715[[#This Row],[Variance]]</f>
        <v>3.2123270728262864E-4</v>
      </c>
      <c r="R23" s="35">
        <f>1/Tabela715[[#This Row],[Variance within]]</f>
        <v>3113.0080385001852</v>
      </c>
      <c r="S23" s="36">
        <f>Tabela715[[#This Row],[ESi ]]*Tabela715[[#This Row],[wi]]</f>
        <v>28.009069755144541</v>
      </c>
      <c r="T23" s="36">
        <f>Tabela715[[#This Row],[ESi ]]^2*Tabela715[[#This Row],[wi]]</f>
        <v>0.25200962504630103</v>
      </c>
      <c r="U23" s="37">
        <f>Tabela715[[#This Row],[wi]]^2</f>
        <v>9690819.0477667712</v>
      </c>
      <c r="V23" s="34">
        <f>Tabela715[[#This Row],[Variance]]</f>
        <v>3.2123270728262864E-4</v>
      </c>
      <c r="W23" s="34">
        <f t="shared" si="0"/>
        <v>2.7734826316427039E-4</v>
      </c>
      <c r="X23" s="34">
        <f>Tabela715[[#This Row],[Variance within2]]+Tabela715[[#This Row],[Variance between]]</f>
        <v>5.9858097044689909E-4</v>
      </c>
      <c r="Y23" s="35">
        <f>1/Tabela715[[#This Row],[Variance total]]</f>
        <v>1670.6177599555201</v>
      </c>
      <c r="Z23" s="38">
        <f>Tabela715[[#This Row],[ESi ]]*Tabela715[[#This Row],[wi'']]</f>
        <v>15.03126519240265</v>
      </c>
    </row>
    <row r="24" spans="1:26" x14ac:dyDescent="0.2">
      <c r="A24" s="8" t="s">
        <v>66</v>
      </c>
      <c r="B24" s="9" t="s">
        <v>8</v>
      </c>
      <c r="C24" s="9" t="s">
        <v>32</v>
      </c>
      <c r="D24" s="10" t="s">
        <v>23</v>
      </c>
      <c r="E24" s="11" t="s">
        <v>48</v>
      </c>
      <c r="F24" s="22">
        <v>0.53085425073892667</v>
      </c>
      <c r="G24" s="12">
        <v>1103</v>
      </c>
      <c r="H24" s="24">
        <f>ABS(Tabela58[[#This Row],[ESi(hh_total)]])/SQRT(0.25/Tabela58[[#This Row],[n_hh_total]])</f>
        <v>2.0494284294823224</v>
      </c>
      <c r="I24" s="22">
        <f>Tabela58[[#This Row],[%_females_hh_total]]-0.5</f>
        <v>3.085425073892667E-2</v>
      </c>
      <c r="J24" s="21">
        <f>Tabela58[[#This Row],[%_females_hh_total]]*(1-Tabela58[[#This Row],[%_females_hh_total]])/Tabela58[[#This Row],[n_hh_total]]</f>
        <v>2.2579149157873023E-4</v>
      </c>
      <c r="L24" s="8" t="s">
        <v>73</v>
      </c>
      <c r="M24" s="9" t="s">
        <v>10</v>
      </c>
      <c r="N24" s="32" t="s">
        <v>6</v>
      </c>
      <c r="O24" s="33">
        <f>VLOOKUP(Tabela715[[#This Row],[ID]],Tabela58[],9,0)</f>
        <v>6.2189054726374815E-3</v>
      </c>
      <c r="P24" s="34">
        <f>VLOOKUP(Tabela715[[#This Row],[ID]],Tabela58[],10,0)</f>
        <v>3.1089717066507759E-4</v>
      </c>
      <c r="Q24" s="34">
        <f>Tabela715[[#This Row],[Variance]]</f>
        <v>3.1089717066507759E-4</v>
      </c>
      <c r="R24" s="35">
        <f>1/Tabela715[[#This Row],[Variance within]]</f>
        <v>3216.4975894144663</v>
      </c>
      <c r="S24" s="36">
        <f>Tabela715[[#This Row],[ESi ]]*Tabela715[[#This Row],[wi]]</f>
        <v>20.003094461534893</v>
      </c>
      <c r="T24" s="36">
        <f>Tabela715[[#This Row],[ESi ]]^2*Tabela715[[#This Row],[wi]]</f>
        <v>0.12439735361652383</v>
      </c>
      <c r="U24" s="37">
        <f>Tabela715[[#This Row],[wi]]^2</f>
        <v>10345856.742709072</v>
      </c>
      <c r="V24" s="34">
        <f>Tabela715[[#This Row],[Variance]]</f>
        <v>3.1089717066507759E-4</v>
      </c>
      <c r="W24" s="34">
        <f t="shared" si="0"/>
        <v>2.7734826316427039E-4</v>
      </c>
      <c r="X24" s="34">
        <f>Tabela715[[#This Row],[Variance within2]]+Tabela715[[#This Row],[Variance between]]</f>
        <v>5.8824543382934792E-4</v>
      </c>
      <c r="Y24" s="35">
        <f>1/Tabela715[[#This Row],[Variance total]]</f>
        <v>1699.9706967382997</v>
      </c>
      <c r="Z24" s="38">
        <f>Tabela715[[#This Row],[ESi ]]*Tabela715[[#This Row],[wi'']]</f>
        <v>10.571957069269164</v>
      </c>
    </row>
    <row r="25" spans="1:26" x14ac:dyDescent="0.2">
      <c r="A25" s="8" t="s">
        <v>67</v>
      </c>
      <c r="B25" s="9" t="s">
        <v>8</v>
      </c>
      <c r="C25" s="9" t="s">
        <v>32</v>
      </c>
      <c r="D25" s="10" t="s">
        <v>25</v>
      </c>
      <c r="E25" s="11" t="s">
        <v>48</v>
      </c>
      <c r="F25" s="22">
        <v>0.47515548527861151</v>
      </c>
      <c r="G25" s="12">
        <v>743</v>
      </c>
      <c r="H25" s="24">
        <f>ABS(Tabela58[[#This Row],[ESi(hh_total)]])/SQRT(0.25/Tabela58[[#This Row],[n_hh_total]])</f>
        <v>1.3544248734038784</v>
      </c>
      <c r="I25" s="22">
        <f>Tabela58[[#This Row],[%_females_hh_total]]-0.5</f>
        <v>-2.4844514721388489E-2</v>
      </c>
      <c r="J25" s="21">
        <f>Tabela58[[#This Row],[%_females_hh_total]]*(1-Tabela58[[#This Row],[%_females_hh_total]])/Tabela58[[#This Row],[n_hh_total]]</f>
        <v>3.35643001464682E-4</v>
      </c>
      <c r="L25" s="8" t="s">
        <v>74</v>
      </c>
      <c r="M25" s="9" t="s">
        <v>10</v>
      </c>
      <c r="N25" s="32" t="s">
        <v>6</v>
      </c>
      <c r="O25" s="33">
        <f>VLOOKUP(Tabela715[[#This Row],[ID]],Tabela58[],9,0)</f>
        <v>-2.0454545454545892E-2</v>
      </c>
      <c r="P25" s="34">
        <f>VLOOKUP(Tabela715[[#This Row],[ID]],Tabela58[],10,0)</f>
        <v>2.8361546769346358E-4</v>
      </c>
      <c r="Q25" s="34">
        <f>Tabela715[[#This Row],[Variance]]</f>
        <v>2.8361546769346358E-4</v>
      </c>
      <c r="R25" s="35">
        <f>1/Tabela715[[#This Row],[Variance within]]</f>
        <v>3525.9007843705372</v>
      </c>
      <c r="S25" s="36">
        <f>Tabela715[[#This Row],[ESi ]]*Tabela715[[#This Row],[wi]]</f>
        <v>-72.120697862126164</v>
      </c>
      <c r="T25" s="36">
        <f>Tabela715[[#This Row],[ESi ]]^2*Tabela715[[#This Row],[wi]]</f>
        <v>1.4751960926344303</v>
      </c>
      <c r="U25" s="37">
        <f>Tabela715[[#This Row],[wi]]^2</f>
        <v>12431976.341224769</v>
      </c>
      <c r="V25" s="34">
        <f>Tabela715[[#This Row],[Variance]]</f>
        <v>2.8361546769346358E-4</v>
      </c>
      <c r="W25" s="34">
        <f t="shared" si="0"/>
        <v>2.7734826316427039E-4</v>
      </c>
      <c r="X25" s="34">
        <f>Tabela715[[#This Row],[Variance within2]]+Tabela715[[#This Row],[Variance between]]</f>
        <v>5.6096373085773397E-4</v>
      </c>
      <c r="Y25" s="35">
        <f>1/Tabela715[[#This Row],[Variance total]]</f>
        <v>1782.6464439527376</v>
      </c>
      <c r="Z25" s="38">
        <f>Tabela715[[#This Row],[ESi ]]*Tabela715[[#This Row],[wi'']]</f>
        <v>-36.463222717215864</v>
      </c>
    </row>
    <row r="26" spans="1:26" x14ac:dyDescent="0.2">
      <c r="A26" s="8" t="s">
        <v>68</v>
      </c>
      <c r="B26" s="9" t="s">
        <v>8</v>
      </c>
      <c r="C26" s="9" t="s">
        <v>32</v>
      </c>
      <c r="D26" s="10" t="s">
        <v>26</v>
      </c>
      <c r="E26" s="11" t="s">
        <v>48</v>
      </c>
      <c r="F26" s="22">
        <v>0.47842741847488213</v>
      </c>
      <c r="G26" s="12">
        <v>847</v>
      </c>
      <c r="H26" s="24">
        <f>ABS(Tabela58[[#This Row],[ESi(hh_total)]])/SQRT(0.25/Tabela58[[#This Row],[n_hh_total]])</f>
        <v>1.2556650887688243</v>
      </c>
      <c r="I26" s="22">
        <f>Tabela58[[#This Row],[%_females_hh_total]]-0.5</f>
        <v>-2.1572581525117873E-2</v>
      </c>
      <c r="J26" s="21">
        <f>Tabela58[[#This Row],[%_females_hh_total]]*(1-Tabela58[[#This Row],[%_females_hh_total]])/Tabela58[[#This Row],[n_hh_total]]</f>
        <v>2.9460994536758222E-4</v>
      </c>
      <c r="L26" s="8" t="s">
        <v>75</v>
      </c>
      <c r="M26" s="9" t="s">
        <v>10</v>
      </c>
      <c r="N26" s="32" t="s">
        <v>6</v>
      </c>
      <c r="O26" s="33">
        <f>VLOOKUP(Tabela715[[#This Row],[ID]],Tabela58[],9,0)</f>
        <v>-5.5840821566110921E-2</v>
      </c>
      <c r="P26" s="34">
        <f>VLOOKUP(Tabela715[[#This Row],[ID]],Tabela58[],10,0)</f>
        <v>3.1692144113841048E-4</v>
      </c>
      <c r="Q26" s="34">
        <f>Tabela715[[#This Row],[Variance]]</f>
        <v>3.1692144113841048E-4</v>
      </c>
      <c r="R26" s="35">
        <f>1/Tabela715[[#This Row],[Variance within]]</f>
        <v>3155.356092058365</v>
      </c>
      <c r="S26" s="36">
        <f>Tabela715[[#This Row],[ESi ]]*Tabela715[[#This Row],[wi]]</f>
        <v>-176.19767651417223</v>
      </c>
      <c r="T26" s="36">
        <f>Tabela715[[#This Row],[ESi ]]^2*Tabela715[[#This Row],[wi]]</f>
        <v>9.8390230145912234</v>
      </c>
      <c r="U26" s="37">
        <f>Tabela715[[#This Row],[wi]]^2</f>
        <v>9956272.0676898379</v>
      </c>
      <c r="V26" s="34">
        <f>Tabela715[[#This Row],[Variance]]</f>
        <v>3.1692144113841048E-4</v>
      </c>
      <c r="W26" s="34">
        <f t="shared" si="0"/>
        <v>2.7734826316427039E-4</v>
      </c>
      <c r="X26" s="34">
        <f>Tabela715[[#This Row],[Variance within2]]+Tabela715[[#This Row],[Variance between]]</f>
        <v>5.9426970430268087E-4</v>
      </c>
      <c r="Y26" s="35">
        <f>1/Tabela715[[#This Row],[Variance total]]</f>
        <v>1682.737640434498</v>
      </c>
      <c r="Z26" s="38">
        <f>Tabela715[[#This Row],[ESi ]]*Tabela715[[#This Row],[wi'']]</f>
        <v>-93.965452322081319</v>
      </c>
    </row>
    <row r="27" spans="1:26" x14ac:dyDescent="0.2">
      <c r="A27" s="8" t="s">
        <v>69</v>
      </c>
      <c r="B27" s="9" t="s">
        <v>8</v>
      </c>
      <c r="C27" s="9" t="s">
        <v>32</v>
      </c>
      <c r="D27" s="10" t="s">
        <v>27</v>
      </c>
      <c r="E27" s="11" t="s">
        <v>48</v>
      </c>
      <c r="F27" s="22">
        <v>0.45837630764283765</v>
      </c>
      <c r="G27" s="12">
        <v>783</v>
      </c>
      <c r="H27" s="24">
        <f>ABS(Tabela58[[#This Row],[ESi(hh_total)]])/SQRT(0.25/Tabela58[[#This Row],[n_hh_total]])</f>
        <v>2.3294397372264544</v>
      </c>
      <c r="I27" s="22">
        <f>Tabela58[[#This Row],[%_females_hh_total]]-0.5</f>
        <v>-4.1623692357162345E-2</v>
      </c>
      <c r="J27" s="21">
        <f>Tabela58[[#This Row],[%_females_hh_total]]*(1-Tabela58[[#This Row],[%_females_hh_total]])/Tabela58[[#This Row],[n_hh_total]]</f>
        <v>3.170721177963682E-4</v>
      </c>
      <c r="L27" s="8" t="s">
        <v>76</v>
      </c>
      <c r="M27" s="9" t="s">
        <v>10</v>
      </c>
      <c r="N27" s="32" t="s">
        <v>6</v>
      </c>
      <c r="O27" s="33">
        <f>VLOOKUP(Tabela715[[#This Row],[ID]],Tabela58[],9,0)</f>
        <v>-6.1804697157019639E-4</v>
      </c>
      <c r="P27" s="34">
        <f>VLOOKUP(Tabela715[[#This Row],[ID]],Tabela58[],10,0)</f>
        <v>3.0902301361921005E-4</v>
      </c>
      <c r="Q27" s="34">
        <f>Tabela715[[#This Row],[Variance]]</f>
        <v>3.0902301361921005E-4</v>
      </c>
      <c r="R27" s="35">
        <f>1/Tabela715[[#This Row],[Variance within]]</f>
        <v>3236.0049443833273</v>
      </c>
      <c r="S27" s="36">
        <f>Tabela715[[#This Row],[ESi ]]*Tabela715[[#This Row],[wi]]</f>
        <v>-2.0000030558622974</v>
      </c>
      <c r="T27" s="36">
        <f>Tabela715[[#This Row],[ESi ]]^2*Tabela715[[#This Row],[wi]]</f>
        <v>1.2360958318068311E-3</v>
      </c>
      <c r="U27" s="37">
        <f>Tabela715[[#This Row],[wi]]^2</f>
        <v>10471728.000073342</v>
      </c>
      <c r="V27" s="34">
        <f>Tabela715[[#This Row],[Variance]]</f>
        <v>3.0902301361921005E-4</v>
      </c>
      <c r="W27" s="34">
        <f t="shared" si="0"/>
        <v>2.7734826316427039E-4</v>
      </c>
      <c r="X27" s="34">
        <f>Tabela715[[#This Row],[Variance within2]]+Tabela715[[#This Row],[Variance between]]</f>
        <v>5.8637127678348049E-4</v>
      </c>
      <c r="Y27" s="35">
        <f>1/Tabela715[[#This Row],[Variance total]]</f>
        <v>1705.4041348775909</v>
      </c>
      <c r="Z27" s="38">
        <f>Tabela715[[#This Row],[ESi ]]*Tabela715[[#This Row],[wi'']]</f>
        <v>-1.0540198608643858</v>
      </c>
    </row>
    <row r="28" spans="1:26" x14ac:dyDescent="0.2">
      <c r="A28" s="8" t="s">
        <v>70</v>
      </c>
      <c r="B28" s="9" t="s">
        <v>8</v>
      </c>
      <c r="C28" s="13" t="s">
        <v>32</v>
      </c>
      <c r="D28" s="10" t="s">
        <v>47</v>
      </c>
      <c r="E28" s="11" t="s">
        <v>48</v>
      </c>
      <c r="F28" s="22">
        <v>0.51519040963035467</v>
      </c>
      <c r="G28" s="12">
        <v>812</v>
      </c>
      <c r="H28" s="24">
        <f>ABS(Tabela58[[#This Row],[ESi(hh_total)]])/SQRT(0.25/Tabela58[[#This Row],[n_hh_total]])</f>
        <v>0.86572008946826051</v>
      </c>
      <c r="I28" s="22">
        <f>Tabela58[[#This Row],[%_females_hh_total]]-0.5</f>
        <v>1.5190409630354673E-2</v>
      </c>
      <c r="J28" s="21">
        <f>Tabela58[[#This Row],[%_females_hh_total]]*(1-Tabela58[[#This Row],[%_females_hh_total]])/Tabela58[[#This Row],[n_hh_total]]</f>
        <v>3.0759760031436208E-4</v>
      </c>
      <c r="L28" s="8" t="s">
        <v>77</v>
      </c>
      <c r="M28" s="9" t="s">
        <v>10</v>
      </c>
      <c r="N28" s="32" t="s">
        <v>6</v>
      </c>
      <c r="O28" s="33">
        <f>VLOOKUP(Tabela715[[#This Row],[ID]],Tabela58[],9,0)</f>
        <v>-2.349869451697123E-2</v>
      </c>
      <c r="P28" s="34">
        <f>VLOOKUP(Tabela715[[#This Row],[ID]],Tabela58[],10,0)</f>
        <v>3.256498842767599E-4</v>
      </c>
      <c r="Q28" s="34">
        <f>Tabela715[[#This Row],[Variance]]</f>
        <v>3.256498842767599E-4</v>
      </c>
      <c r="R28" s="35">
        <f>1/Tabela715[[#This Row],[Variance within]]</f>
        <v>3070.782605131008</v>
      </c>
      <c r="S28" s="36">
        <f>Tabela715[[#This Row],[ESi ]]*Tabela715[[#This Row],[wi]]</f>
        <v>-72.159382366002646</v>
      </c>
      <c r="T28" s="36">
        <f>Tabela715[[#This Row],[ESi ]]^2*Tabela715[[#This Row],[wi]]</f>
        <v>1.6956512827520167</v>
      </c>
      <c r="U28" s="37">
        <f>Tabela715[[#This Row],[wi]]^2</f>
        <v>9429705.8079751804</v>
      </c>
      <c r="V28" s="34">
        <f>Tabela715[[#This Row],[Variance]]</f>
        <v>3.256498842767599E-4</v>
      </c>
      <c r="W28" s="34">
        <f t="shared" si="0"/>
        <v>2.7734826316427039E-4</v>
      </c>
      <c r="X28" s="34">
        <f>Tabela715[[#This Row],[Variance within2]]+Tabela715[[#This Row],[Variance between]]</f>
        <v>6.0299814744103029E-4</v>
      </c>
      <c r="Y28" s="35">
        <f>1/Tabela715[[#This Row],[Variance total]]</f>
        <v>1658.3798876393632</v>
      </c>
      <c r="Z28" s="38">
        <f>Tabela715[[#This Row],[ESi ]]*Tabela715[[#This Row],[wi'']]</f>
        <v>-38.969762372726471</v>
      </c>
    </row>
    <row r="29" spans="1:26" x14ac:dyDescent="0.2">
      <c r="A29" s="8" t="s">
        <v>98</v>
      </c>
      <c r="B29" s="9" t="s">
        <v>9</v>
      </c>
      <c r="C29" s="9" t="s">
        <v>33</v>
      </c>
      <c r="D29" s="10" t="s">
        <v>4</v>
      </c>
      <c r="E29" s="14" t="s">
        <v>6</v>
      </c>
      <c r="F29" s="22">
        <v>0.4969339131201862</v>
      </c>
      <c r="G29" s="12">
        <v>1305</v>
      </c>
      <c r="H29" s="24">
        <f>ABS(Tabela58[[#This Row],[ESi(hh_total)]])/SQRT(0.25/Tabela58[[#This Row],[n_hh_total]])</f>
        <v>0.22152345090043227</v>
      </c>
      <c r="I29" s="22">
        <f>Tabela58[[#This Row],[%_females_hh_total]]-0.5</f>
        <v>-3.0660868798138008E-3</v>
      </c>
      <c r="J29" s="21">
        <f>Tabela58[[#This Row],[%_females_hh_total]]*(1-Tabela58[[#This Row],[%_females_hh_total]])/Tabela58[[#This Row],[n_hh_total]]</f>
        <v>1.9156367747988156E-4</v>
      </c>
      <c r="L29" s="8" t="s">
        <v>78</v>
      </c>
      <c r="M29" s="9" t="s">
        <v>49</v>
      </c>
      <c r="N29" s="32" t="s">
        <v>6</v>
      </c>
      <c r="O29" s="33">
        <f>VLOOKUP(Tabela715[[#This Row],[ID]],Tabela58[],9,0)</f>
        <v>5.4711246200607633E-2</v>
      </c>
      <c r="P29" s="34">
        <f>VLOOKUP(Tabela715[[#This Row],[ID]],Tabela58[],10,0)</f>
        <v>3.7539009048507063E-4</v>
      </c>
      <c r="Q29" s="34">
        <f>Tabela715[[#This Row],[Variance]]</f>
        <v>3.7539009048507063E-4</v>
      </c>
      <c r="R29" s="35">
        <f>1/Tabela715[[#This Row],[Variance within]]</f>
        <v>2663.8955724905322</v>
      </c>
      <c r="S29" s="36">
        <f>Tabela715[[#This Row],[ESi ]]*Tabela715[[#This Row],[wi]]</f>
        <v>145.74504651923812</v>
      </c>
      <c r="T29" s="36">
        <f>Tabela715[[#This Row],[ESi ]]^2*Tabela715[[#This Row],[wi]]</f>
        <v>7.9738931226330498</v>
      </c>
      <c r="U29" s="37">
        <f>Tabela715[[#This Row],[wi]]^2</f>
        <v>7096339.6211346602</v>
      </c>
      <c r="V29" s="34">
        <f>Tabela715[[#This Row],[Variance]]</f>
        <v>3.7539009048507063E-4</v>
      </c>
      <c r="W29" s="34">
        <f t="shared" si="0"/>
        <v>2.7734826316427039E-4</v>
      </c>
      <c r="X29" s="34">
        <f>Tabela715[[#This Row],[Variance within2]]+Tabela715[[#This Row],[Variance between]]</f>
        <v>6.5273835364934108E-4</v>
      </c>
      <c r="Y29" s="35">
        <f>1/Tabela715[[#This Row],[Variance total]]</f>
        <v>1532.0074183004299</v>
      </c>
      <c r="Z29" s="38">
        <f>Tabela715[[#This Row],[ESi ]]*Tabela715[[#This Row],[wi'']]</f>
        <v>83.818035043792108</v>
      </c>
    </row>
    <row r="30" spans="1:26" x14ac:dyDescent="0.2">
      <c r="A30" s="8" t="s">
        <v>99</v>
      </c>
      <c r="B30" s="9" t="s">
        <v>9</v>
      </c>
      <c r="C30" s="9" t="s">
        <v>33</v>
      </c>
      <c r="D30" s="10" t="s">
        <v>23</v>
      </c>
      <c r="E30" s="15" t="s">
        <v>6</v>
      </c>
      <c r="F30" s="22">
        <v>0.5197055674898301</v>
      </c>
      <c r="G30" s="12">
        <v>1262</v>
      </c>
      <c r="H30" s="24">
        <f>ABS(Tabela58[[#This Row],[ESi(hh_total)]])/SQRT(0.25/Tabela58[[#This Row],[n_hh_total]])</f>
        <v>1.4000663560009805</v>
      </c>
      <c r="I30" s="22">
        <f>Tabela58[[#This Row],[%_females_hh_total]]-0.5</f>
        <v>1.97055674898301E-2</v>
      </c>
      <c r="J30" s="21">
        <f>Tabela58[[#This Row],[%_females_hh_total]]*(1-Tabela58[[#This Row],[%_females_hh_total]])/Tabela58[[#This Row],[n_hh_total]]</f>
        <v>1.9779056308233262E-4</v>
      </c>
      <c r="L30" s="8" t="s">
        <v>79</v>
      </c>
      <c r="M30" s="9" t="s">
        <v>49</v>
      </c>
      <c r="N30" s="32" t="s">
        <v>6</v>
      </c>
      <c r="O30" s="33">
        <f>VLOOKUP(Tabela715[[#This Row],[ID]],Tabela58[],9,0)</f>
        <v>6.7698259187617404E-3</v>
      </c>
      <c r="P30" s="34">
        <f>VLOOKUP(Tabela715[[#This Row],[ID]],Tabela58[],10,0)</f>
        <v>4.8347034711224309E-4</v>
      </c>
      <c r="Q30" s="34">
        <f>Tabela715[[#This Row],[Variance]]</f>
        <v>4.8347034711224309E-4</v>
      </c>
      <c r="R30" s="35">
        <f>1/Tabela715[[#This Row],[Variance within]]</f>
        <v>2068.3791797635081</v>
      </c>
      <c r="S30" s="36">
        <f>Tabela715[[#This Row],[ESi ]]*Tabela715[[#This Row],[wi]]</f>
        <v>14.002566980990146</v>
      </c>
      <c r="T30" s="36">
        <f>Tabela715[[#This Row],[ESi ]]^2*Tabela715[[#This Row],[wi]]</f>
        <v>9.4794940877104439E-2</v>
      </c>
      <c r="U30" s="37">
        <f>Tabela715[[#This Row],[wi]]^2</f>
        <v>4278192.4312791629</v>
      </c>
      <c r="V30" s="34">
        <f>Tabela715[[#This Row],[Variance]]</f>
        <v>4.8347034711224309E-4</v>
      </c>
      <c r="W30" s="34">
        <f t="shared" si="0"/>
        <v>2.7734826316427039E-4</v>
      </c>
      <c r="X30" s="34">
        <f>Tabela715[[#This Row],[Variance within2]]+Tabela715[[#This Row],[Variance between]]</f>
        <v>7.6081861027651348E-4</v>
      </c>
      <c r="Y30" s="35">
        <f>1/Tabela715[[#This Row],[Variance total]]</f>
        <v>1314.3737370416818</v>
      </c>
      <c r="Z30" s="38">
        <f>Tabela715[[#This Row],[ESi ]]*Tabela715[[#This Row],[wi'']]</f>
        <v>8.8980813919645065</v>
      </c>
    </row>
    <row r="31" spans="1:26" x14ac:dyDescent="0.2">
      <c r="A31" s="8" t="s">
        <v>100</v>
      </c>
      <c r="B31" s="9" t="s">
        <v>9</v>
      </c>
      <c r="C31" s="9" t="s">
        <v>33</v>
      </c>
      <c r="D31" s="10" t="s">
        <v>24</v>
      </c>
      <c r="E31" s="15" t="s">
        <v>6</v>
      </c>
      <c r="F31" s="22">
        <v>0.4780890151010182</v>
      </c>
      <c r="G31" s="12">
        <v>1278</v>
      </c>
      <c r="H31" s="24">
        <f>ABS(Tabela58[[#This Row],[ESi(hh_total)]])/SQRT(0.25/Tabela58[[#This Row],[n_hh_total]])</f>
        <v>1.5665971138912214</v>
      </c>
      <c r="I31" s="22">
        <f>Tabela58[[#This Row],[%_females_hh_total]]-0.5</f>
        <v>-2.19109848989818E-2</v>
      </c>
      <c r="J31" s="21">
        <f>Tabela58[[#This Row],[%_females_hh_total]]*(1-Tabela58[[#This Row],[%_females_hh_total]])/Tabela58[[#This Row],[n_hh_total]]</f>
        <v>1.9524249510231343E-4</v>
      </c>
      <c r="L31" s="8" t="s">
        <v>80</v>
      </c>
      <c r="M31" s="9" t="s">
        <v>49</v>
      </c>
      <c r="N31" s="32" t="s">
        <v>6</v>
      </c>
      <c r="O31" s="33">
        <f>VLOOKUP(Tabela715[[#This Row],[ID]],Tabela58[],9,0)</f>
        <v>-5.263157894737025E-3</v>
      </c>
      <c r="P31" s="34">
        <f>VLOOKUP(Tabela715[[#This Row],[ID]],Tabela58[],10,0)</f>
        <v>4.3854789327890366E-4</v>
      </c>
      <c r="Q31" s="34">
        <f>Tabela715[[#This Row],[Variance]]</f>
        <v>4.3854789327890366E-4</v>
      </c>
      <c r="R31" s="35">
        <f>1/Tabela715[[#This Row],[Variance within]]</f>
        <v>2280.252659574468</v>
      </c>
      <c r="S31" s="36">
        <f>Tabela715[[#This Row],[ESi ]]*Tabela715[[#This Row],[wi]]</f>
        <v>-12.001329787234459</v>
      </c>
      <c r="T31" s="36">
        <f>Tabela715[[#This Row],[ESi ]]^2*Tabela715[[#This Row],[wi]]</f>
        <v>6.3164893617025666E-2</v>
      </c>
      <c r="U31" s="37">
        <f>Tabela715[[#This Row],[wi]]^2</f>
        <v>5199552.1914964346</v>
      </c>
      <c r="V31" s="34">
        <f>Tabela715[[#This Row],[Variance]]</f>
        <v>4.3854789327890366E-4</v>
      </c>
      <c r="W31" s="34">
        <f t="shared" si="0"/>
        <v>2.7734826316427039E-4</v>
      </c>
      <c r="X31" s="34">
        <f>Tabela715[[#This Row],[Variance within2]]+Tabela715[[#This Row],[Variance between]]</f>
        <v>7.1589615644317411E-4</v>
      </c>
      <c r="Y31" s="35">
        <f>1/Tabela715[[#This Row],[Variance total]]</f>
        <v>1396.8506339918829</v>
      </c>
      <c r="Z31" s="38">
        <f>Tabela715[[#This Row],[ESi ]]*Tabela715[[#This Row],[wi'']]</f>
        <v>-7.351845442062797</v>
      </c>
    </row>
    <row r="32" spans="1:26" x14ac:dyDescent="0.2">
      <c r="A32" s="8" t="s">
        <v>101</v>
      </c>
      <c r="B32" s="9" t="s">
        <v>9</v>
      </c>
      <c r="C32" s="9" t="s">
        <v>33</v>
      </c>
      <c r="D32" s="10" t="s">
        <v>25</v>
      </c>
      <c r="E32" s="15" t="s">
        <v>6</v>
      </c>
      <c r="F32" s="22">
        <v>0.44765256489754707</v>
      </c>
      <c r="G32" s="12">
        <v>1250</v>
      </c>
      <c r="H32" s="24">
        <f>ABS(Tabela58[[#This Row],[ESi(hh_total)]])/SQRT(0.25/Tabela58[[#This Row],[n_hh_total]])</f>
        <v>3.7015226338667184</v>
      </c>
      <c r="I32" s="22">
        <f>Tabela58[[#This Row],[%_females_hh_total]]-0.5</f>
        <v>-5.2347435102452933E-2</v>
      </c>
      <c r="J32" s="21">
        <f>Tabela58[[#This Row],[%_females_hh_total]]*(1-Tabela58[[#This Row],[%_females_hh_total]])/Tabela58[[#This Row],[n_hh_total]]</f>
        <v>1.9780779683055557E-4</v>
      </c>
      <c r="L32" s="8" t="s">
        <v>81</v>
      </c>
      <c r="M32" s="9" t="s">
        <v>49</v>
      </c>
      <c r="N32" s="32" t="s">
        <v>6</v>
      </c>
      <c r="O32" s="33">
        <f>VLOOKUP(Tabela715[[#This Row],[ID]],Tabela58[],9,0)</f>
        <v>5.7480314960630219E-2</v>
      </c>
      <c r="P32" s="34">
        <f>VLOOKUP(Tabela715[[#This Row],[ID]],Tabela58[],10,0)</f>
        <v>3.884976588850815E-4</v>
      </c>
      <c r="Q32" s="34">
        <f>Tabela715[[#This Row],[Variance]]</f>
        <v>3.884976588850815E-4</v>
      </c>
      <c r="R32" s="35">
        <f>1/Tabela715[[#This Row],[Variance within]]</f>
        <v>2574.0180851277723</v>
      </c>
      <c r="S32" s="36">
        <f>Tabela715[[#This Row],[ESi ]]*Tabela715[[#This Row],[wi]]</f>
        <v>147.95537024750263</v>
      </c>
      <c r="T32" s="36">
        <f>Tabela715[[#This Row],[ESi ]]^2*Tabela715[[#This Row],[wi]]</f>
        <v>8.5045212819431093</v>
      </c>
      <c r="U32" s="37">
        <f>Tabela715[[#This Row],[wi]]^2</f>
        <v>6625569.1025648443</v>
      </c>
      <c r="V32" s="34">
        <f>Tabela715[[#This Row],[Variance]]</f>
        <v>3.884976588850815E-4</v>
      </c>
      <c r="W32" s="34">
        <f t="shared" si="0"/>
        <v>2.7734826316427039E-4</v>
      </c>
      <c r="X32" s="34">
        <f>Tabela715[[#This Row],[Variance within2]]+Tabela715[[#This Row],[Variance between]]</f>
        <v>6.6584592204935189E-4</v>
      </c>
      <c r="Y32" s="35">
        <f>1/Tabela715[[#This Row],[Variance total]]</f>
        <v>1501.848951664648</v>
      </c>
      <c r="Z32" s="38">
        <f>Tabela715[[#This Row],[ESi ]]*Tabela715[[#This Row],[wi'']]</f>
        <v>86.326750764976282</v>
      </c>
    </row>
    <row r="33" spans="1:26" x14ac:dyDescent="0.2">
      <c r="A33" s="8" t="s">
        <v>102</v>
      </c>
      <c r="B33" s="9" t="s">
        <v>9</v>
      </c>
      <c r="C33" s="9" t="s">
        <v>33</v>
      </c>
      <c r="D33" s="10" t="s">
        <v>26</v>
      </c>
      <c r="E33" s="15" t="s">
        <v>6</v>
      </c>
      <c r="F33" s="22">
        <v>0.47177887744930291</v>
      </c>
      <c r="G33" s="12">
        <v>1372</v>
      </c>
      <c r="H33" s="24">
        <f>ABS(Tabela58[[#This Row],[ESi(hh_total)]])/SQRT(0.25/Tabela58[[#This Row],[n_hh_total]])</f>
        <v>2.0906500156701964</v>
      </c>
      <c r="I33" s="22">
        <f>Tabela58[[#This Row],[%_females_hh_total]]-0.5</f>
        <v>-2.8221122550697086E-2</v>
      </c>
      <c r="J33" s="21">
        <f>Tabela58[[#This Row],[%_females_hh_total]]*(1-Tabela58[[#This Row],[%_females_hh_total]])/Tabela58[[#This Row],[n_hh_total]]</f>
        <v>1.8163525382068407E-4</v>
      </c>
      <c r="L33" s="8" t="s">
        <v>82</v>
      </c>
      <c r="M33" s="9" t="s">
        <v>49</v>
      </c>
      <c r="N33" s="32" t="s">
        <v>6</v>
      </c>
      <c r="O33" s="33">
        <f>VLOOKUP(Tabela715[[#This Row],[ID]],Tabela58[],9,0)</f>
        <v>2.1276595744681326E-2</v>
      </c>
      <c r="P33" s="34">
        <f>VLOOKUP(Tabela715[[#This Row],[ID]],Tabela58[],10,0)</f>
        <v>2.9497317550061163E-4</v>
      </c>
      <c r="Q33" s="34">
        <f>Tabela715[[#This Row],[Variance]]</f>
        <v>2.9497317550061163E-4</v>
      </c>
      <c r="R33" s="35">
        <f>1/Tabela715[[#This Row],[Variance within]]</f>
        <v>3390.1387755102041</v>
      </c>
      <c r="S33" s="36">
        <f>Tabela715[[#This Row],[ESi ]]*Tabela715[[#This Row],[wi]]</f>
        <v>72.130612244899567</v>
      </c>
      <c r="T33" s="36">
        <f>Tabela715[[#This Row],[ESi ]]^2*Tabela715[[#This Row],[wi]]</f>
        <v>1.534693877551089</v>
      </c>
      <c r="U33" s="37">
        <f>Tabela715[[#This Row],[wi]]^2</f>
        <v>11493040.917217826</v>
      </c>
      <c r="V33" s="34">
        <f>Tabela715[[#This Row],[Variance]]</f>
        <v>2.9497317550061163E-4</v>
      </c>
      <c r="W33" s="34">
        <f t="shared" si="0"/>
        <v>2.7734826316427039E-4</v>
      </c>
      <c r="X33" s="34">
        <f>Tabela715[[#This Row],[Variance within2]]+Tabela715[[#This Row],[Variance between]]</f>
        <v>5.7232143866488196E-4</v>
      </c>
      <c r="Y33" s="35">
        <f>1/Tabela715[[#This Row],[Variance total]]</f>
        <v>1747.2698599808029</v>
      </c>
      <c r="Z33" s="38">
        <f>Tabela715[[#This Row],[ESi ]]*Tabela715[[#This Row],[wi'']]</f>
        <v>37.175954467677485</v>
      </c>
    </row>
    <row r="34" spans="1:26" x14ac:dyDescent="0.2">
      <c r="A34" s="8" t="s">
        <v>103</v>
      </c>
      <c r="B34" s="9" t="s">
        <v>9</v>
      </c>
      <c r="C34" s="9" t="s">
        <v>33</v>
      </c>
      <c r="D34" s="10" t="s">
        <v>27</v>
      </c>
      <c r="E34" s="15" t="s">
        <v>6</v>
      </c>
      <c r="F34" s="22">
        <v>0.47265390617095554</v>
      </c>
      <c r="G34" s="12">
        <v>1382</v>
      </c>
      <c r="H34" s="24">
        <f>ABS(Tabela58[[#This Row],[ESi(hh_total)]])/SQRT(0.25/Tabela58[[#This Row],[n_hh_total]])</f>
        <v>2.0331963284748875</v>
      </c>
      <c r="I34" s="22">
        <f>Tabela58[[#This Row],[%_females_hh_total]]-0.5</f>
        <v>-2.734609382904446E-2</v>
      </c>
      <c r="J34" s="21">
        <f>Tabela58[[#This Row],[%_females_hh_total]]*(1-Tabela58[[#This Row],[%_females_hh_total]])/Tabela58[[#This Row],[n_hh_total]]</f>
        <v>1.8035614410440889E-4</v>
      </c>
      <c r="L34" s="8" t="s">
        <v>83</v>
      </c>
      <c r="M34" s="9" t="s">
        <v>49</v>
      </c>
      <c r="N34" s="32" t="s">
        <v>6</v>
      </c>
      <c r="O34" s="33">
        <f>VLOOKUP(Tabela715[[#This Row],[ID]],Tabela58[],9,0)</f>
        <v>2.245862884160732E-2</v>
      </c>
      <c r="P34" s="34">
        <f>VLOOKUP(Tabela715[[#This Row],[ID]],Tabela58[],10,0)</f>
        <v>2.9491206854675522E-4</v>
      </c>
      <c r="Q34" s="34">
        <f>Tabela715[[#This Row],[Variance]]</f>
        <v>2.9491206854675522E-4</v>
      </c>
      <c r="R34" s="35">
        <f>1/Tabela715[[#This Row],[Variance within]]</f>
        <v>3390.8412257515342</v>
      </c>
      <c r="S34" s="36">
        <f>Tabela715[[#This Row],[ESi ]]*Tabela715[[#This Row],[wi]]</f>
        <v>76.15364454997453</v>
      </c>
      <c r="T34" s="36">
        <f>Tabela715[[#This Row],[ESi ]]^2*Tabela715[[#This Row],[wi]]</f>
        <v>1.7103064378835702</v>
      </c>
      <c r="U34" s="37">
        <f>Tabela715[[#This Row],[wi]]^2</f>
        <v>11497804.218256168</v>
      </c>
      <c r="V34" s="34">
        <f>Tabela715[[#This Row],[Variance]]</f>
        <v>2.9491206854675522E-4</v>
      </c>
      <c r="W34" s="34">
        <f t="shared" si="0"/>
        <v>2.7734826316427039E-4</v>
      </c>
      <c r="X34" s="34">
        <f>Tabela715[[#This Row],[Variance within2]]+Tabela715[[#This Row],[Variance between]]</f>
        <v>5.7226033171102562E-4</v>
      </c>
      <c r="Y34" s="35">
        <f>1/Tabela715[[#This Row],[Variance total]]</f>
        <v>1747.4564364964058</v>
      </c>
      <c r="Z34" s="38">
        <f>Tabela715[[#This Row],[ESi ]]*Tabela715[[#This Row],[wi'']]</f>
        <v>39.245475524150528</v>
      </c>
    </row>
    <row r="35" spans="1:26" x14ac:dyDescent="0.2">
      <c r="A35" s="8" t="s">
        <v>104</v>
      </c>
      <c r="B35" s="9" t="s">
        <v>9</v>
      </c>
      <c r="C35" s="9" t="s">
        <v>33</v>
      </c>
      <c r="D35" s="10" t="s">
        <v>47</v>
      </c>
      <c r="E35" s="15" t="s">
        <v>6</v>
      </c>
      <c r="F35" s="22">
        <v>0.48285892798887653</v>
      </c>
      <c r="G35" s="12">
        <v>1481</v>
      </c>
      <c r="H35" s="24">
        <f>ABS(Tabela58[[#This Row],[ESi(hh_total)]])/SQRT(0.25/Tabela58[[#This Row],[n_hh_total]])</f>
        <v>1.319305899163133</v>
      </c>
      <c r="I35" s="22">
        <f>Tabela58[[#This Row],[%_females_hh_total]]-0.5</f>
        <v>-1.714107201112347E-2</v>
      </c>
      <c r="J35" s="21">
        <f>Tabela58[[#This Row],[%_females_hh_total]]*(1-Tabela58[[#This Row],[%_females_hh_total]])/Tabela58[[#This Row],[n_hh_total]]</f>
        <v>1.6860647106705569E-4</v>
      </c>
      <c r="L35" s="8" t="s">
        <v>155</v>
      </c>
      <c r="M35" s="9" t="s">
        <v>11</v>
      </c>
      <c r="N35" s="32" t="s">
        <v>6</v>
      </c>
      <c r="O35" s="33">
        <f>VLOOKUP(Tabela715[[#This Row],[ID]],Tabela58[],9,0)</f>
        <v>-3.6233256296789251E-2</v>
      </c>
      <c r="P35" s="34">
        <f>VLOOKUP(Tabela715[[#This Row],[ID]],Tabela58[],10,0)</f>
        <v>4.5133784235595496E-4</v>
      </c>
      <c r="Q35" s="34">
        <f>Tabela715[[#This Row],[Variance]]</f>
        <v>4.5133784235595496E-4</v>
      </c>
      <c r="R35" s="35">
        <f>1/Tabela715[[#This Row],[Variance within]]</f>
        <v>2215.6351764790279</v>
      </c>
      <c r="S35" s="36">
        <f>Tabela715[[#This Row],[ESi ]]*Tabela715[[#This Row],[wi]]</f>
        <v>-80.279677209546506</v>
      </c>
      <c r="T35" s="36">
        <f>Tabela715[[#This Row],[ESi ]]^2*Tabela715[[#This Row],[wi]]</f>
        <v>2.9087941197570095</v>
      </c>
      <c r="U35" s="37">
        <f>Tabela715[[#This Row],[wi]]^2</f>
        <v>4909039.2352512535</v>
      </c>
      <c r="V35" s="34">
        <f>Tabela715[[#This Row],[Variance]]</f>
        <v>4.5133784235595496E-4</v>
      </c>
      <c r="W35" s="34">
        <f t="shared" si="0"/>
        <v>2.7734826316427039E-4</v>
      </c>
      <c r="X35" s="34">
        <f>Tabela715[[#This Row],[Variance within2]]+Tabela715[[#This Row],[Variance between]]</f>
        <v>7.2868610552022535E-4</v>
      </c>
      <c r="Y35" s="35">
        <f>1/Tabela715[[#This Row],[Variance total]]</f>
        <v>1372.3330147568513</v>
      </c>
      <c r="Z35" s="38">
        <f>Tabela715[[#This Row],[ESi ]]*Tabela715[[#This Row],[wi'']]</f>
        <v>-49.72409384823046</v>
      </c>
    </row>
    <row r="36" spans="1:26" x14ac:dyDescent="0.2">
      <c r="A36" s="8" t="s">
        <v>71</v>
      </c>
      <c r="B36" s="9" t="s">
        <v>10</v>
      </c>
      <c r="C36" s="9" t="s">
        <v>34</v>
      </c>
      <c r="D36" s="10" t="s">
        <v>4</v>
      </c>
      <c r="E36" s="14" t="s">
        <v>6</v>
      </c>
      <c r="F36" s="22">
        <v>0.47619047619047622</v>
      </c>
      <c r="G36" s="12">
        <v>819</v>
      </c>
      <c r="H36" s="24">
        <f>ABS(Tabela58[[#This Row],[ESi(hh_total)]])/SQRT(0.25/Tabela58[[#This Row],[n_hh_total]])</f>
        <v>1.3627702877384922</v>
      </c>
      <c r="I36" s="22">
        <f>Tabela58[[#This Row],[%_females_hh_total]]-0.5</f>
        <v>-2.380952380952378E-2</v>
      </c>
      <c r="J36" s="21">
        <f>Tabela58[[#This Row],[%_females_hh_total]]*(1-Tabela58[[#This Row],[%_females_hh_total]])/Tabela58[[#This Row],[n_hh_total]]</f>
        <v>3.0455812768737935E-4</v>
      </c>
      <c r="L36" s="8" t="s">
        <v>156</v>
      </c>
      <c r="M36" s="9" t="s">
        <v>11</v>
      </c>
      <c r="N36" s="32" t="s">
        <v>6</v>
      </c>
      <c r="O36" s="33">
        <f>VLOOKUP(Tabela715[[#This Row],[ID]],Tabela58[],9,0)</f>
        <v>3.0833870142896513E-2</v>
      </c>
      <c r="P36" s="34">
        <f>VLOOKUP(Tabela715[[#This Row],[ID]],Tabela58[],10,0)</f>
        <v>3.8433529699384415E-4</v>
      </c>
      <c r="Q36" s="34">
        <f>Tabela715[[#This Row],[Variance]]</f>
        <v>3.8433529699384415E-4</v>
      </c>
      <c r="R36" s="35">
        <f>1/Tabela715[[#This Row],[Variance within]]</f>
        <v>2601.8947721473965</v>
      </c>
      <c r="S36" s="36">
        <f>Tabela715[[#This Row],[ESi ]]*Tabela715[[#This Row],[wi]]</f>
        <v>80.22648552987414</v>
      </c>
      <c r="T36" s="36">
        <f>Tabela715[[#This Row],[ESi ]]^2*Tabela715[[#This Row],[wi]]</f>
        <v>2.473693036849105</v>
      </c>
      <c r="U36" s="37">
        <f>Tabela715[[#This Row],[wi]]^2</f>
        <v>6769856.4053279525</v>
      </c>
      <c r="V36" s="34">
        <f>Tabela715[[#This Row],[Variance]]</f>
        <v>3.8433529699384415E-4</v>
      </c>
      <c r="W36" s="34">
        <f t="shared" si="0"/>
        <v>2.7734826316427039E-4</v>
      </c>
      <c r="X36" s="34">
        <f>Tabela715[[#This Row],[Variance within2]]+Tabela715[[#This Row],[Variance between]]</f>
        <v>6.6168356015811449E-4</v>
      </c>
      <c r="Y36" s="35">
        <f>1/Tabela715[[#This Row],[Variance total]]</f>
        <v>1511.296426589535</v>
      </c>
      <c r="Z36" s="38">
        <f>Tabela715[[#This Row],[ESi ]]*Tabela715[[#This Row],[wi'']]</f>
        <v>46.599117764885257</v>
      </c>
    </row>
    <row r="37" spans="1:26" x14ac:dyDescent="0.2">
      <c r="A37" s="8" t="s">
        <v>72</v>
      </c>
      <c r="B37" s="9" t="s">
        <v>10</v>
      </c>
      <c r="C37" s="9" t="s">
        <v>34</v>
      </c>
      <c r="D37" s="10" t="s">
        <v>23</v>
      </c>
      <c r="E37" s="15" t="s">
        <v>6</v>
      </c>
      <c r="F37" s="22">
        <v>0.50899742930591307</v>
      </c>
      <c r="G37" s="12">
        <v>778</v>
      </c>
      <c r="H37" s="24">
        <f>ABS(Tabela58[[#This Row],[ESi(hh_total)]])/SQRT(0.25/Tabela58[[#This Row],[n_hh_total]])</f>
        <v>0.50192431756747891</v>
      </c>
      <c r="I37" s="22">
        <f>Tabela58[[#This Row],[%_females_hh_total]]-0.5</f>
        <v>8.9974293059130739E-3</v>
      </c>
      <c r="J37" s="21">
        <f>Tabela58[[#This Row],[%_females_hh_total]]*(1-Tabela58[[#This Row],[%_females_hh_total]])/Tabela58[[#This Row],[n_hh_total]]</f>
        <v>3.2123270728262864E-4</v>
      </c>
      <c r="L37" s="8" t="s">
        <v>157</v>
      </c>
      <c r="M37" s="9" t="s">
        <v>11</v>
      </c>
      <c r="N37" s="32" t="s">
        <v>6</v>
      </c>
      <c r="O37" s="33">
        <f>VLOOKUP(Tabela715[[#This Row],[ID]],Tabela58[],9,0)</f>
        <v>8.789338071582109E-3</v>
      </c>
      <c r="P37" s="34">
        <f>VLOOKUP(Tabela715[[#This Row],[ID]],Tabela58[],10,0)</f>
        <v>2.6989497574110522E-4</v>
      </c>
      <c r="Q37" s="34">
        <f>Tabela715[[#This Row],[Variance]]</f>
        <v>2.6989497574110522E-4</v>
      </c>
      <c r="R37" s="35">
        <f>1/Tabela715[[#This Row],[Variance within]]</f>
        <v>3705.1449262962296</v>
      </c>
      <c r="S37" s="36">
        <f>Tabela715[[#This Row],[ESi ]]*Tabela715[[#This Row],[wi]]</f>
        <v>32.565771361424737</v>
      </c>
      <c r="T37" s="36">
        <f>Tabela715[[#This Row],[ESi ]]^2*Tabela715[[#This Row],[wi]]</f>
        <v>0.28623157405740879</v>
      </c>
      <c r="U37" s="37">
        <f>Tabela715[[#This Row],[wi]]^2</f>
        <v>13728098.924858693</v>
      </c>
      <c r="V37" s="34">
        <f>Tabela715[[#This Row],[Variance]]</f>
        <v>2.6989497574110522E-4</v>
      </c>
      <c r="W37" s="34">
        <f t="shared" si="0"/>
        <v>2.7734826316427039E-4</v>
      </c>
      <c r="X37" s="34">
        <f>Tabela715[[#This Row],[Variance within2]]+Tabela715[[#This Row],[Variance between]]</f>
        <v>5.4724323890537562E-4</v>
      </c>
      <c r="Y37" s="35">
        <f>1/Tabela715[[#This Row],[Variance total]]</f>
        <v>1827.3409864327461</v>
      </c>
      <c r="Z37" s="38">
        <f>Tabela715[[#This Row],[ESi ]]*Tabela715[[#This Row],[wi'']]</f>
        <v>16.061117701815743</v>
      </c>
    </row>
    <row r="38" spans="1:26" x14ac:dyDescent="0.2">
      <c r="A38" s="8" t="s">
        <v>73</v>
      </c>
      <c r="B38" s="9" t="s">
        <v>10</v>
      </c>
      <c r="C38" s="9" t="s">
        <v>34</v>
      </c>
      <c r="D38" s="10" t="s">
        <v>24</v>
      </c>
      <c r="E38" s="15" t="s">
        <v>6</v>
      </c>
      <c r="F38" s="22">
        <v>0.50621890547263748</v>
      </c>
      <c r="G38" s="12">
        <v>804</v>
      </c>
      <c r="H38" s="24">
        <f>ABS(Tabela58[[#This Row],[ESi(hh_total)]])/SQRT(0.25/Tabela58[[#This Row],[n_hh_total]])</f>
        <v>0.35267280792933686</v>
      </c>
      <c r="I38" s="22">
        <f>Tabela58[[#This Row],[%_females_hh_total]]-0.5</f>
        <v>6.2189054726374815E-3</v>
      </c>
      <c r="J38" s="21">
        <f>Tabela58[[#This Row],[%_females_hh_total]]*(1-Tabela58[[#This Row],[%_females_hh_total]])/Tabela58[[#This Row],[n_hh_total]]</f>
        <v>3.1089717066507759E-4</v>
      </c>
      <c r="L38" s="8" t="s">
        <v>158</v>
      </c>
      <c r="M38" s="9" t="s">
        <v>11</v>
      </c>
      <c r="N38" s="32" t="s">
        <v>6</v>
      </c>
      <c r="O38" s="33">
        <f>VLOOKUP(Tabela715[[#This Row],[ID]],Tabela58[],9,0)</f>
        <v>-2.1563015925702589E-2</v>
      </c>
      <c r="P38" s="34">
        <f>VLOOKUP(Tabela715[[#This Row],[ID]],Tabela58[],10,0)</f>
        <v>3.6375369729473451E-4</v>
      </c>
      <c r="Q38" s="34">
        <f>Tabela715[[#This Row],[Variance]]</f>
        <v>3.6375369729473451E-4</v>
      </c>
      <c r="R38" s="35">
        <f>1/Tabela715[[#This Row],[Variance within]]</f>
        <v>2749.1129504306909</v>
      </c>
      <c r="S38" s="36">
        <f>Tabela715[[#This Row],[ESi ]]*Tabela715[[#This Row],[wi]]</f>
        <v>-59.279166331692224</v>
      </c>
      <c r="T38" s="36">
        <f>Tabela715[[#This Row],[ESi ]]^2*Tabela715[[#This Row],[wi]]</f>
        <v>1.278237607672652</v>
      </c>
      <c r="U38" s="37">
        <f>Tabela715[[#This Row],[wi]]^2</f>
        <v>7557622.0142257391</v>
      </c>
      <c r="V38" s="34">
        <f>Tabela715[[#This Row],[Variance]]</f>
        <v>3.6375369729473451E-4</v>
      </c>
      <c r="W38" s="34">
        <f t="shared" si="0"/>
        <v>2.7734826316427039E-4</v>
      </c>
      <c r="X38" s="34">
        <f>Tabela715[[#This Row],[Variance within2]]+Tabela715[[#This Row],[Variance between]]</f>
        <v>6.411019604590049E-4</v>
      </c>
      <c r="Y38" s="35">
        <f>1/Tabela715[[#This Row],[Variance total]]</f>
        <v>1559.8142911371501</v>
      </c>
      <c r="Z38" s="38">
        <f>Tabela715[[#This Row],[ESi ]]*Tabela715[[#This Row],[wi'']]</f>
        <v>-33.634300400928865</v>
      </c>
    </row>
    <row r="39" spans="1:26" x14ac:dyDescent="0.2">
      <c r="A39" s="8" t="s">
        <v>74</v>
      </c>
      <c r="B39" s="9" t="s">
        <v>10</v>
      </c>
      <c r="C39" s="9" t="s">
        <v>34</v>
      </c>
      <c r="D39" s="10" t="s">
        <v>25</v>
      </c>
      <c r="E39" s="15" t="s">
        <v>6</v>
      </c>
      <c r="F39" s="22">
        <v>0.47954545454545411</v>
      </c>
      <c r="G39" s="12">
        <v>880</v>
      </c>
      <c r="H39" s="24">
        <f>ABS(Tabela58[[#This Row],[ESi(hh_total)]])/SQRT(0.25/Tabela58[[#This Row],[n_hh_total]])</f>
        <v>1.2135597524338617</v>
      </c>
      <c r="I39" s="22">
        <f>Tabela58[[#This Row],[%_females_hh_total]]-0.5</f>
        <v>-2.0454545454545892E-2</v>
      </c>
      <c r="J39" s="21">
        <f>Tabela58[[#This Row],[%_females_hh_total]]*(1-Tabela58[[#This Row],[%_females_hh_total]])/Tabela58[[#This Row],[n_hh_total]]</f>
        <v>2.8361546769346358E-4</v>
      </c>
      <c r="L39" s="8" t="s">
        <v>159</v>
      </c>
      <c r="M39" s="9" t="s">
        <v>11</v>
      </c>
      <c r="N39" s="32" t="s">
        <v>6</v>
      </c>
      <c r="O39" s="33">
        <f>VLOOKUP(Tabela715[[#This Row],[ID]],Tabela58[],9,0)</f>
        <v>-5.7261382187634435E-3</v>
      </c>
      <c r="P39" s="34">
        <f>VLOOKUP(Tabela715[[#This Row],[ID]],Tabela58[],10,0)</f>
        <v>3.6174704969768395E-4</v>
      </c>
      <c r="Q39" s="34">
        <f>Tabela715[[#This Row],[Variance]]</f>
        <v>3.6174704969768395E-4</v>
      </c>
      <c r="R39" s="35">
        <f>1/Tabela715[[#This Row],[Variance within]]</f>
        <v>2764.3625589640915</v>
      </c>
      <c r="S39" s="36">
        <f>Tabela715[[#This Row],[ESi ]]*Tabela715[[#This Row],[wi]]</f>
        <v>-15.829122099402998</v>
      </c>
      <c r="T39" s="36">
        <f>Tabela715[[#This Row],[ESi ]]^2*Tabela715[[#This Row],[wi]]</f>
        <v>9.0639741022864539E-2</v>
      </c>
      <c r="U39" s="37">
        <f>Tabela715[[#This Row],[wi]]^2</f>
        <v>7641700.3574024998</v>
      </c>
      <c r="V39" s="34">
        <f>Tabela715[[#This Row],[Variance]]</f>
        <v>3.6174704969768395E-4</v>
      </c>
      <c r="W39" s="34">
        <f t="shared" si="0"/>
        <v>2.7734826316427039E-4</v>
      </c>
      <c r="X39" s="34">
        <f>Tabela715[[#This Row],[Variance within2]]+Tabela715[[#This Row],[Variance between]]</f>
        <v>6.3909531286195434E-4</v>
      </c>
      <c r="Y39" s="35">
        <f>1/Tabela715[[#This Row],[Variance total]]</f>
        <v>1564.7118354254019</v>
      </c>
      <c r="Z39" s="38">
        <f>Tabela715[[#This Row],[ESi ]]*Tabela715[[#This Row],[wi'']]</f>
        <v>-8.9597562421808892</v>
      </c>
    </row>
    <row r="40" spans="1:26" x14ac:dyDescent="0.2">
      <c r="A40" s="8" t="s">
        <v>75</v>
      </c>
      <c r="B40" s="9" t="s">
        <v>10</v>
      </c>
      <c r="C40" s="9" t="s">
        <v>34</v>
      </c>
      <c r="D40" s="10" t="s">
        <v>26</v>
      </c>
      <c r="E40" s="15" t="s">
        <v>6</v>
      </c>
      <c r="F40" s="22">
        <v>0.44415917843388908</v>
      </c>
      <c r="G40" s="12">
        <v>779</v>
      </c>
      <c r="H40" s="24">
        <f>ABS(Tabela58[[#This Row],[ESi(hh_total)]])/SQRT(0.25/Tabela58[[#This Row],[n_hh_total]])</f>
        <v>3.1170984829651105</v>
      </c>
      <c r="I40" s="22">
        <f>Tabela58[[#This Row],[%_females_hh_total]]-0.5</f>
        <v>-5.5840821566110921E-2</v>
      </c>
      <c r="J40" s="21">
        <f>Tabela58[[#This Row],[%_females_hh_total]]*(1-Tabela58[[#This Row],[%_females_hh_total]])/Tabela58[[#This Row],[n_hh_total]]</f>
        <v>3.1692144113841048E-4</v>
      </c>
      <c r="L40" s="8" t="s">
        <v>160</v>
      </c>
      <c r="M40" s="9" t="s">
        <v>11</v>
      </c>
      <c r="N40" s="32" t="s">
        <v>6</v>
      </c>
      <c r="O40" s="33">
        <f>VLOOKUP(Tabela715[[#This Row],[ID]],Tabela58[],9,0)</f>
        <v>-3.5714285714286143E-2</v>
      </c>
      <c r="P40" s="34">
        <f>VLOOKUP(Tabela715[[#This Row],[ID]],Tabela58[],10,0)</f>
        <v>3.5532069970845476E-4</v>
      </c>
      <c r="Q40" s="34">
        <f>Tabela715[[#This Row],[Variance]]</f>
        <v>3.5532069970845476E-4</v>
      </c>
      <c r="R40" s="35">
        <f>1/Tabela715[[#This Row],[Variance within]]</f>
        <v>2814.3589743589746</v>
      </c>
      <c r="S40" s="36">
        <f>Tabela715[[#This Row],[ESi ]]*Tabela715[[#This Row],[wi]]</f>
        <v>-100.51282051282173</v>
      </c>
      <c r="T40" s="36">
        <f>Tabela715[[#This Row],[ESi ]]^2*Tabela715[[#This Row],[wi]]</f>
        <v>3.5897435897436765</v>
      </c>
      <c r="U40" s="37">
        <f>Tabela715[[#This Row],[wi]]^2</f>
        <v>7920616.4365548994</v>
      </c>
      <c r="V40" s="34">
        <f>Tabela715[[#This Row],[Variance]]</f>
        <v>3.5532069970845476E-4</v>
      </c>
      <c r="W40" s="34">
        <f t="shared" si="0"/>
        <v>2.7734826316427039E-4</v>
      </c>
      <c r="X40" s="34">
        <f>Tabela715[[#This Row],[Variance within2]]+Tabela715[[#This Row],[Variance between]]</f>
        <v>6.326689628727252E-4</v>
      </c>
      <c r="Y40" s="35">
        <f>1/Tabela715[[#This Row],[Variance total]]</f>
        <v>1580.6054329887702</v>
      </c>
      <c r="Z40" s="38">
        <f>Tabela715[[#This Row],[ESi ]]*Tabela715[[#This Row],[wi'']]</f>
        <v>-56.450194035313899</v>
      </c>
    </row>
    <row r="41" spans="1:26" x14ac:dyDescent="0.2">
      <c r="A41" s="8" t="s">
        <v>76</v>
      </c>
      <c r="B41" s="9" t="s">
        <v>10</v>
      </c>
      <c r="C41" s="9" t="s">
        <v>34</v>
      </c>
      <c r="D41" s="10" t="s">
        <v>27</v>
      </c>
      <c r="E41" s="15" t="s">
        <v>6</v>
      </c>
      <c r="F41" s="22">
        <v>0.4993819530284298</v>
      </c>
      <c r="G41" s="12">
        <v>809</v>
      </c>
      <c r="H41" s="24">
        <f>ABS(Tabela58[[#This Row],[ESi(hh_total)]])/SQRT(0.25/Tabela58[[#This Row],[n_hh_total]])</f>
        <v>3.515812769675182E-2</v>
      </c>
      <c r="I41" s="22">
        <f>Tabela58[[#This Row],[%_females_hh_total]]-0.5</f>
        <v>-6.1804697157019639E-4</v>
      </c>
      <c r="J41" s="21">
        <f>Tabela58[[#This Row],[%_females_hh_total]]*(1-Tabela58[[#This Row],[%_females_hh_total]])/Tabela58[[#This Row],[n_hh_total]]</f>
        <v>3.0902301361921005E-4</v>
      </c>
      <c r="L41" s="8" t="s">
        <v>84</v>
      </c>
      <c r="M41" s="9" t="s">
        <v>12</v>
      </c>
      <c r="N41" s="32" t="s">
        <v>6</v>
      </c>
      <c r="O41" s="33">
        <f>VLOOKUP(Tabela715[[#This Row],[ID]],Tabela58[],9,0)</f>
        <v>4.7021943573668512E-3</v>
      </c>
      <c r="P41" s="34">
        <f>VLOOKUP(Tabela715[[#This Row],[ID]],Tabela58[],10,0)</f>
        <v>2.6120991574527224E-4</v>
      </c>
      <c r="Q41" s="34">
        <f>Tabela715[[#This Row],[Variance]]</f>
        <v>2.6120991574527224E-4</v>
      </c>
      <c r="R41" s="35">
        <f>1/Tabela715[[#This Row],[Variance within]]</f>
        <v>3828.3385879393036</v>
      </c>
      <c r="S41" s="36">
        <f>Tabela715[[#This Row],[ESi ]]*Tabela715[[#This Row],[wi]]</f>
        <v>18.001592106297974</v>
      </c>
      <c r="T41" s="36">
        <f>Tabela715[[#This Row],[ESi ]]^2*Tabela715[[#This Row],[wi]]</f>
        <v>8.4646984825853977E-2</v>
      </c>
      <c r="U41" s="37">
        <f>Tabela715[[#This Row],[wi]]^2</f>
        <v>14656176.343905101</v>
      </c>
      <c r="V41" s="34">
        <f>Tabela715[[#This Row],[Variance]]</f>
        <v>2.6120991574527224E-4</v>
      </c>
      <c r="W41" s="34">
        <f t="shared" si="0"/>
        <v>2.7734826316427039E-4</v>
      </c>
      <c r="X41" s="34">
        <f>Tabela715[[#This Row],[Variance within2]]+Tabela715[[#This Row],[Variance between]]</f>
        <v>5.3855817890954263E-4</v>
      </c>
      <c r="Y41" s="35">
        <f>1/Tabela715[[#This Row],[Variance total]]</f>
        <v>1856.8096060202292</v>
      </c>
      <c r="Z41" s="38">
        <f>Tabela715[[#This Row],[ESi ]]*Tabela715[[#This Row],[wi'']]</f>
        <v>8.7310796521328875</v>
      </c>
    </row>
    <row r="42" spans="1:26" x14ac:dyDescent="0.2">
      <c r="A42" s="8" t="s">
        <v>77</v>
      </c>
      <c r="B42" s="9" t="s">
        <v>10</v>
      </c>
      <c r="C42" s="13" t="s">
        <v>34</v>
      </c>
      <c r="D42" s="10" t="s">
        <v>47</v>
      </c>
      <c r="E42" s="15" t="s">
        <v>6</v>
      </c>
      <c r="F42" s="22">
        <v>0.47650130548302877</v>
      </c>
      <c r="G42" s="12">
        <v>766</v>
      </c>
      <c r="H42" s="24">
        <f>ABS(Tabela58[[#This Row],[ESi(hh_total)]])/SQRT(0.25/Tabela58[[#This Row],[n_hh_total]])</f>
        <v>1.3007328723538609</v>
      </c>
      <c r="I42" s="22">
        <f>Tabela58[[#This Row],[%_females_hh_total]]-0.5</f>
        <v>-2.349869451697123E-2</v>
      </c>
      <c r="J42" s="21">
        <f>Tabela58[[#This Row],[%_females_hh_total]]*(1-Tabela58[[#This Row],[%_females_hh_total]])/Tabela58[[#This Row],[n_hh_total]]</f>
        <v>3.256498842767599E-4</v>
      </c>
      <c r="L42" s="8" t="s">
        <v>85</v>
      </c>
      <c r="M42" s="9" t="s">
        <v>12</v>
      </c>
      <c r="N42" s="32" t="s">
        <v>6</v>
      </c>
      <c r="O42" s="33">
        <f>VLOOKUP(Tabela715[[#This Row],[ID]],Tabela58[],9,0)</f>
        <v>1.0658914728682078E-2</v>
      </c>
      <c r="P42" s="34">
        <f>VLOOKUP(Tabela715[[#This Row],[ID]],Tabela58[],10,0)</f>
        <v>2.4213797241938632E-4</v>
      </c>
      <c r="Q42" s="34">
        <f>Tabela715[[#This Row],[Variance]]</f>
        <v>2.4213797241938632E-4</v>
      </c>
      <c r="R42" s="35">
        <f>1/Tabela715[[#This Row],[Variance within]]</f>
        <v>4129.87682191369</v>
      </c>
      <c r="S42" s="36">
        <f>Tabela715[[#This Row],[ESi ]]*Tabela715[[#This Row],[wi]]</f>
        <v>44.020004884738562</v>
      </c>
      <c r="T42" s="36">
        <f>Tabela715[[#This Row],[ESi ]]^2*Tabela715[[#This Row],[wi]]</f>
        <v>0.46920547842259691</v>
      </c>
      <c r="U42" s="37">
        <f>Tabela715[[#This Row],[wi]]^2</f>
        <v>17055882.56417992</v>
      </c>
      <c r="V42" s="34">
        <f>Tabela715[[#This Row],[Variance]]</f>
        <v>2.4213797241938632E-4</v>
      </c>
      <c r="W42" s="34">
        <f t="shared" si="0"/>
        <v>2.7734826316427039E-4</v>
      </c>
      <c r="X42" s="34">
        <f>Tabela715[[#This Row],[Variance within2]]+Tabela715[[#This Row],[Variance between]]</f>
        <v>5.1948623558365674E-4</v>
      </c>
      <c r="Y42" s="35">
        <f>1/Tabela715[[#This Row],[Variance total]]</f>
        <v>1924.9788184983827</v>
      </c>
      <c r="Z42" s="38">
        <f>Tabela715[[#This Row],[ESi ]]*Tabela715[[#This Row],[wi'']]</f>
        <v>20.518185080893435</v>
      </c>
    </row>
    <row r="43" spans="1:26" x14ac:dyDescent="0.2">
      <c r="A43" s="8" t="s">
        <v>78</v>
      </c>
      <c r="B43" s="9" t="s">
        <v>49</v>
      </c>
      <c r="C43" s="9" t="s">
        <v>50</v>
      </c>
      <c r="D43" s="10" t="s">
        <v>23</v>
      </c>
      <c r="E43" s="15" t="s">
        <v>6</v>
      </c>
      <c r="F43" s="22">
        <v>0.55471124620060763</v>
      </c>
      <c r="G43" s="12">
        <v>658</v>
      </c>
      <c r="H43" s="24">
        <f>ABS(Tabela58[[#This Row],[ESi(hh_total)]])/SQRT(0.25/Tabela58[[#This Row],[n_hh_total]])</f>
        <v>2.8068522321076079</v>
      </c>
      <c r="I43" s="22">
        <f>Tabela58[[#This Row],[%_females_hh_total]]-0.5</f>
        <v>5.4711246200607633E-2</v>
      </c>
      <c r="J43" s="21">
        <f>Tabela58[[#This Row],[%_females_hh_total]]*(1-Tabela58[[#This Row],[%_females_hh_total]])/Tabela58[[#This Row],[n_hh_total]]</f>
        <v>3.7539009048507063E-4</v>
      </c>
      <c r="L43" s="8" t="s">
        <v>86</v>
      </c>
      <c r="M43" s="9" t="s">
        <v>12</v>
      </c>
      <c r="N43" s="32" t="s">
        <v>6</v>
      </c>
      <c r="O43" s="33">
        <f>VLOOKUP(Tabela715[[#This Row],[ID]],Tabela58[],9,0)</f>
        <v>-2.0276953511374873E-2</v>
      </c>
      <c r="P43" s="34">
        <f>VLOOKUP(Tabela715[[#This Row],[ID]],Tabela58[],10,0)</f>
        <v>2.468732395215604E-4</v>
      </c>
      <c r="Q43" s="34">
        <f>Tabela715[[#This Row],[Variance]]</f>
        <v>2.468732395215604E-4</v>
      </c>
      <c r="R43" s="35">
        <f>1/Tabela715[[#This Row],[Variance within]]</f>
        <v>4050.661796871937</v>
      </c>
      <c r="S43" s="36">
        <f>Tabela715[[#This Row],[ESi ]]*Tabela715[[#This Row],[wi]]</f>
        <v>-82.135080945474471</v>
      </c>
      <c r="T43" s="36">
        <f>Tabela715[[#This Row],[ESi ]]^2*Tabela715[[#This Row],[wi]]</f>
        <v>1.665449217984398</v>
      </c>
      <c r="U43" s="37">
        <f>Tabela715[[#This Row],[wi]]^2</f>
        <v>16407860.992637789</v>
      </c>
      <c r="V43" s="34">
        <f>Tabela715[[#This Row],[Variance]]</f>
        <v>2.468732395215604E-4</v>
      </c>
      <c r="W43" s="34">
        <f t="shared" si="0"/>
        <v>2.7734826316427039E-4</v>
      </c>
      <c r="X43" s="34">
        <f>Tabela715[[#This Row],[Variance within2]]+Tabela715[[#This Row],[Variance between]]</f>
        <v>5.2422150268583074E-4</v>
      </c>
      <c r="Y43" s="35">
        <f>1/Tabela715[[#This Row],[Variance total]]</f>
        <v>1907.5905793191134</v>
      </c>
      <c r="Z43" s="38">
        <f>Tabela715[[#This Row],[ESi ]]*Tabela715[[#This Row],[wi'']]</f>
        <v>-38.680125495590325</v>
      </c>
    </row>
    <row r="44" spans="1:26" x14ac:dyDescent="0.2">
      <c r="A44" s="8" t="s">
        <v>79</v>
      </c>
      <c r="B44" s="9" t="s">
        <v>49</v>
      </c>
      <c r="C44" s="9" t="s">
        <v>50</v>
      </c>
      <c r="D44" s="10" t="s">
        <v>24</v>
      </c>
      <c r="E44" s="15" t="s">
        <v>6</v>
      </c>
      <c r="F44" s="22">
        <v>0.50676982591876174</v>
      </c>
      <c r="G44" s="12">
        <v>517</v>
      </c>
      <c r="H44" s="24">
        <f>ABS(Tabela58[[#This Row],[ESi(hh_total)]])/SQRT(0.25/Tabela58[[#This Row],[n_hh_total]])</f>
        <v>0.30785964799346388</v>
      </c>
      <c r="I44" s="22">
        <f>Tabela58[[#This Row],[%_females_hh_total]]-0.5</f>
        <v>6.7698259187617404E-3</v>
      </c>
      <c r="J44" s="21">
        <f>Tabela58[[#This Row],[%_females_hh_total]]*(1-Tabela58[[#This Row],[%_females_hh_total]])/Tabela58[[#This Row],[n_hh_total]]</f>
        <v>4.8347034711224309E-4</v>
      </c>
      <c r="L44" s="8" t="s">
        <v>87</v>
      </c>
      <c r="M44" s="9" t="s">
        <v>12</v>
      </c>
      <c r="N44" s="32" t="s">
        <v>6</v>
      </c>
      <c r="O44" s="33">
        <f>VLOOKUP(Tabela715[[#This Row],[ID]],Tabela58[],9,0)</f>
        <v>-1.1152416356877304E-2</v>
      </c>
      <c r="P44" s="34">
        <f>VLOOKUP(Tabela715[[#This Row],[ID]],Tabela58[],10,0)</f>
        <v>2.3222641599386881E-4</v>
      </c>
      <c r="Q44" s="34">
        <f>Tabela715[[#This Row],[Variance]]</f>
        <v>2.3222641599386881E-4</v>
      </c>
      <c r="R44" s="35">
        <f>1/Tabela715[[#This Row],[Variance within]]</f>
        <v>4306.1423297614938</v>
      </c>
      <c r="S44" s="36">
        <f>Tabela715[[#This Row],[ESi ]]*Tabela715[[#This Row],[wi]]</f>
        <v>-48.023892153473824</v>
      </c>
      <c r="T44" s="36">
        <f>Tabela715[[#This Row],[ESi ]]^2*Tabela715[[#This Row],[wi]]</f>
        <v>0.53558244037331304</v>
      </c>
      <c r="U44" s="37">
        <f>Tabela715[[#This Row],[wi]]^2</f>
        <v>18542861.764163744</v>
      </c>
      <c r="V44" s="34">
        <f>Tabela715[[#This Row],[Variance]]</f>
        <v>2.3222641599386881E-4</v>
      </c>
      <c r="W44" s="34">
        <f t="shared" si="0"/>
        <v>2.7734826316427039E-4</v>
      </c>
      <c r="X44" s="34">
        <f>Tabela715[[#This Row],[Variance within2]]+Tabela715[[#This Row],[Variance between]]</f>
        <v>5.0957467915813918E-4</v>
      </c>
      <c r="Y44" s="35">
        <f>1/Tabela715[[#This Row],[Variance total]]</f>
        <v>1962.4208990369875</v>
      </c>
      <c r="Z44" s="38">
        <f>Tabela715[[#This Row],[ESi ]]*Tabela715[[#This Row],[wi'']]</f>
        <v>-21.885734933497965</v>
      </c>
    </row>
    <row r="45" spans="1:26" x14ac:dyDescent="0.2">
      <c r="A45" s="8" t="s">
        <v>80</v>
      </c>
      <c r="B45" s="9" t="s">
        <v>49</v>
      </c>
      <c r="C45" s="9" t="s">
        <v>50</v>
      </c>
      <c r="D45" s="10" t="s">
        <v>25</v>
      </c>
      <c r="E45" s="15" t="s">
        <v>6</v>
      </c>
      <c r="F45" s="22">
        <v>0.49473684210526298</v>
      </c>
      <c r="G45" s="12">
        <v>570</v>
      </c>
      <c r="H45" s="24">
        <f>ABS(Tabela58[[#This Row],[ESi(hh_total)]])/SQRT(0.25/Tabela58[[#This Row],[n_hh_total]])</f>
        <v>0.25131234497502603</v>
      </c>
      <c r="I45" s="22">
        <f>Tabela58[[#This Row],[%_females_hh_total]]-0.5</f>
        <v>-5.263157894737025E-3</v>
      </c>
      <c r="J45" s="21">
        <f>Tabela58[[#This Row],[%_females_hh_total]]*(1-Tabela58[[#This Row],[%_females_hh_total]])/Tabela58[[#This Row],[n_hh_total]]</f>
        <v>4.3854789327890366E-4</v>
      </c>
      <c r="L45" s="8" t="s">
        <v>88</v>
      </c>
      <c r="M45" s="9" t="s">
        <v>12</v>
      </c>
      <c r="N45" s="32" t="s">
        <v>6</v>
      </c>
      <c r="O45" s="33">
        <f>VLOOKUP(Tabela715[[#This Row],[ID]],Tabela58[],9,0)</f>
        <v>-1.3513513513513764E-2</v>
      </c>
      <c r="P45" s="34">
        <f>VLOOKUP(Tabela715[[#This Row],[ID]],Tabela58[],10,0)</f>
        <v>2.7007284859731904E-4</v>
      </c>
      <c r="Q45" s="34">
        <f>Tabela715[[#This Row],[Variance]]</f>
        <v>2.7007284859731904E-4</v>
      </c>
      <c r="R45" s="35">
        <f>1/Tabela715[[#This Row],[Variance within]]</f>
        <v>3702.7046783625728</v>
      </c>
      <c r="S45" s="36">
        <f>Tabela715[[#This Row],[ESi ]]*Tabela715[[#This Row],[wi]]</f>
        <v>-50.036549707603264</v>
      </c>
      <c r="T45" s="36">
        <f>Tabela715[[#This Row],[ESi ]]^2*Tabela715[[#This Row],[wi]]</f>
        <v>0.67616959064329996</v>
      </c>
      <c r="U45" s="37">
        <f>Tabela715[[#This Row],[wi]]^2</f>
        <v>13710021.935168084</v>
      </c>
      <c r="V45" s="34">
        <f>Tabela715[[#This Row],[Variance]]</f>
        <v>2.7007284859731904E-4</v>
      </c>
      <c r="W45" s="34">
        <f t="shared" si="0"/>
        <v>2.7734826316427039E-4</v>
      </c>
      <c r="X45" s="34">
        <f>Tabela715[[#This Row],[Variance within2]]+Tabela715[[#This Row],[Variance between]]</f>
        <v>5.4742111176158943E-4</v>
      </c>
      <c r="Y45" s="35">
        <f>1/Tabela715[[#This Row],[Variance total]]</f>
        <v>1826.7472308147221</v>
      </c>
      <c r="Z45" s="38">
        <f>Tabela715[[#This Row],[ESi ]]*Tabela715[[#This Row],[wi'']]</f>
        <v>-24.685773389388594</v>
      </c>
    </row>
    <row r="46" spans="1:26" x14ac:dyDescent="0.2">
      <c r="A46" s="8" t="s">
        <v>81</v>
      </c>
      <c r="B46" s="9" t="s">
        <v>49</v>
      </c>
      <c r="C46" s="9" t="s">
        <v>50</v>
      </c>
      <c r="D46" s="10" t="s">
        <v>26</v>
      </c>
      <c r="E46" s="15" t="s">
        <v>6</v>
      </c>
      <c r="F46" s="22">
        <v>0.55748031496063022</v>
      </c>
      <c r="G46" s="12">
        <v>635</v>
      </c>
      <c r="H46" s="24">
        <f>ABS(Tabela58[[#This Row],[ESi(hh_total)]])/SQRT(0.25/Tabela58[[#This Row],[n_hh_total]])</f>
        <v>2.8969166339838046</v>
      </c>
      <c r="I46" s="22">
        <f>Tabela58[[#This Row],[%_females_hh_total]]-0.5</f>
        <v>5.7480314960630219E-2</v>
      </c>
      <c r="J46" s="21">
        <f>Tabela58[[#This Row],[%_females_hh_total]]*(1-Tabela58[[#This Row],[%_females_hh_total]])/Tabela58[[#This Row],[n_hh_total]]</f>
        <v>3.884976588850815E-4</v>
      </c>
      <c r="L46" s="8" t="s">
        <v>89</v>
      </c>
      <c r="M46" s="9" t="s">
        <v>12</v>
      </c>
      <c r="N46" s="32" t="s">
        <v>6</v>
      </c>
      <c r="O46" s="33">
        <f>VLOOKUP(Tabela715[[#This Row],[ID]],Tabela58[],9,0)</f>
        <v>-1.7055655296229877E-2</v>
      </c>
      <c r="P46" s="34">
        <f>VLOOKUP(Tabela715[[#This Row],[ID]],Tabela58[],10,0)</f>
        <v>2.241553901457955E-4</v>
      </c>
      <c r="Q46" s="34">
        <f>Tabela715[[#This Row],[Variance]]</f>
        <v>2.241553901457955E-4</v>
      </c>
      <c r="R46" s="35">
        <f>1/Tabela715[[#This Row],[Variance within]]</f>
        <v>4461.1909593143328</v>
      </c>
      <c r="S46" s="36">
        <f>Tabela715[[#This Row],[ESi ]]*Tabela715[[#This Row],[wi]]</f>
        <v>-76.088535212722348</v>
      </c>
      <c r="T46" s="36">
        <f>Tabela715[[#This Row],[ESi ]]^2*Tabela715[[#This Row],[wi]]</f>
        <v>1.2977398285832413</v>
      </c>
      <c r="U46" s="37">
        <f>Tabela715[[#This Row],[wi]]^2</f>
        <v>19902224.775467936</v>
      </c>
      <c r="V46" s="34">
        <f>Tabela715[[#This Row],[Variance]]</f>
        <v>2.241553901457955E-4</v>
      </c>
      <c r="W46" s="34">
        <f t="shared" si="0"/>
        <v>2.7734826316427039E-4</v>
      </c>
      <c r="X46" s="34">
        <f>Tabela715[[#This Row],[Variance within2]]+Tabela715[[#This Row],[Variance between]]</f>
        <v>5.0150365331006592E-4</v>
      </c>
      <c r="Y46" s="35">
        <f>1/Tabela715[[#This Row],[Variance total]]</f>
        <v>1994.0034203135256</v>
      </c>
      <c r="Z46" s="38">
        <f>Tabela715[[#This Row],[ESi ]]*Tabela715[[#This Row],[wi'']]</f>
        <v>-34.009034996370872</v>
      </c>
    </row>
    <row r="47" spans="1:26" x14ac:dyDescent="0.2">
      <c r="A47" s="8" t="s">
        <v>82</v>
      </c>
      <c r="B47" s="9" t="s">
        <v>49</v>
      </c>
      <c r="C47" s="9" t="s">
        <v>50</v>
      </c>
      <c r="D47" s="10" t="s">
        <v>27</v>
      </c>
      <c r="E47" s="15" t="s">
        <v>6</v>
      </c>
      <c r="F47" s="22">
        <v>0.52127659574468133</v>
      </c>
      <c r="G47" s="12">
        <v>846</v>
      </c>
      <c r="H47" s="24">
        <f>ABS(Tabela58[[#This Row],[ESi(hh_total)]])/SQRT(0.25/Tabela58[[#This Row],[n_hh_total]])</f>
        <v>1.2377054955105797</v>
      </c>
      <c r="I47" s="22">
        <f>Tabela58[[#This Row],[%_females_hh_total]]-0.5</f>
        <v>2.1276595744681326E-2</v>
      </c>
      <c r="J47" s="21">
        <f>Tabela58[[#This Row],[%_females_hh_total]]*(1-Tabela58[[#This Row],[%_females_hh_total]])/Tabela58[[#This Row],[n_hh_total]]</f>
        <v>2.9497317550061163E-4</v>
      </c>
      <c r="L47" s="8" t="s">
        <v>90</v>
      </c>
      <c r="M47" s="9" t="s">
        <v>12</v>
      </c>
      <c r="N47" s="32" t="s">
        <v>6</v>
      </c>
      <c r="O47" s="33">
        <f>VLOOKUP(Tabela715[[#This Row],[ID]],Tabela58[],9,0)</f>
        <v>-1.0445049954587338E-2</v>
      </c>
      <c r="P47" s="34">
        <f>VLOOKUP(Tabela715[[#This Row],[ID]],Tabela58[],10,0)</f>
        <v>2.2696721247179492E-4</v>
      </c>
      <c r="Q47" s="34">
        <f>Tabela715[[#This Row],[Variance]]</f>
        <v>2.2696721247179492E-4</v>
      </c>
      <c r="R47" s="35">
        <f>1/Tabela715[[#This Row],[Variance within]]</f>
        <v>4405.9227282630936</v>
      </c>
      <c r="S47" s="36">
        <f>Tabela715[[#This Row],[ESi ]]*Tabela715[[#This Row],[wi]]</f>
        <v>-46.020082992759747</v>
      </c>
      <c r="T47" s="36">
        <f>Tabela715[[#This Row],[ESi ]]^2*Tabela715[[#This Row],[wi]]</f>
        <v>0.48068206577363071</v>
      </c>
      <c r="U47" s="37">
        <f>Tabela715[[#This Row],[wi]]^2</f>
        <v>19412155.087425303</v>
      </c>
      <c r="V47" s="34">
        <f>Tabela715[[#This Row],[Variance]]</f>
        <v>2.2696721247179492E-4</v>
      </c>
      <c r="W47" s="34">
        <f t="shared" si="0"/>
        <v>2.7734826316427039E-4</v>
      </c>
      <c r="X47" s="34">
        <f>Tabela715[[#This Row],[Variance within2]]+Tabela715[[#This Row],[Variance between]]</f>
        <v>5.0431547563606534E-4</v>
      </c>
      <c r="Y47" s="35">
        <f>1/Tabela715[[#This Row],[Variance total]]</f>
        <v>1982.8858092025732</v>
      </c>
      <c r="Z47" s="38">
        <f>Tabela715[[#This Row],[ESi ]]*Tabela715[[#This Row],[wi'']]</f>
        <v>-20.711341331363215</v>
      </c>
    </row>
    <row r="48" spans="1:26" x14ac:dyDescent="0.2">
      <c r="A48" s="8" t="s">
        <v>83</v>
      </c>
      <c r="B48" s="9" t="s">
        <v>49</v>
      </c>
      <c r="C48" s="9" t="s">
        <v>50</v>
      </c>
      <c r="D48" s="10" t="s">
        <v>47</v>
      </c>
      <c r="E48" s="15" t="s">
        <v>6</v>
      </c>
      <c r="F48" s="22">
        <v>0.52245862884160732</v>
      </c>
      <c r="G48" s="12">
        <v>846</v>
      </c>
      <c r="H48" s="24">
        <f>ABS(Tabela58[[#This Row],[ESi(hh_total)]])/SQRT(0.25/Tabela58[[#This Row],[n_hh_total]])</f>
        <v>1.3064669119277907</v>
      </c>
      <c r="I48" s="22">
        <f>Tabela58[[#This Row],[%_females_hh_total]]-0.5</f>
        <v>2.245862884160732E-2</v>
      </c>
      <c r="J48" s="21">
        <f>Tabela58[[#This Row],[%_females_hh_total]]*(1-Tabela58[[#This Row],[%_females_hh_total]])/Tabela58[[#This Row],[n_hh_total]]</f>
        <v>2.9491206854675522E-4</v>
      </c>
      <c r="L48" s="8" t="s">
        <v>105</v>
      </c>
      <c r="M48" s="9" t="s">
        <v>15</v>
      </c>
      <c r="N48" s="32" t="s">
        <v>6</v>
      </c>
      <c r="O48" s="33">
        <f>VLOOKUP(Tabela715[[#This Row],[ID]],Tabela58[],9,0)</f>
        <v>1.0989010989010284E-2</v>
      </c>
      <c r="P48" s="34">
        <f>VLOOKUP(Tabela715[[#This Row],[ID]],Tabela58[],10,0)</f>
        <v>4.5765428871333958E-4</v>
      </c>
      <c r="Q48" s="34">
        <f>Tabela715[[#This Row],[Variance]]</f>
        <v>4.5765428871333958E-4</v>
      </c>
      <c r="R48" s="35">
        <f>1/Tabela715[[#This Row],[Variance within]]</f>
        <v>2185.0554548749546</v>
      </c>
      <c r="S48" s="36">
        <f>Tabela715[[#This Row],[ESi ]]*Tabela715[[#This Row],[wi]]</f>
        <v>24.01159840521774</v>
      </c>
      <c r="T48" s="36">
        <f>Tabela715[[#This Row],[ESi ]]^2*Tabela715[[#This Row],[wi]]</f>
        <v>0.26386371873863956</v>
      </c>
      <c r="U48" s="37">
        <f>Tabela715[[#This Row],[wi]]^2</f>
        <v>4774467.3408787949</v>
      </c>
      <c r="V48" s="34">
        <f>Tabela715[[#This Row],[Variance]]</f>
        <v>4.5765428871333958E-4</v>
      </c>
      <c r="W48" s="34">
        <f t="shared" si="0"/>
        <v>2.7734826316427039E-4</v>
      </c>
      <c r="X48" s="34">
        <f>Tabela715[[#This Row],[Variance within2]]+Tabela715[[#This Row],[Variance between]]</f>
        <v>7.3500255187761003E-4</v>
      </c>
      <c r="Y48" s="35">
        <f>1/Tabela715[[#This Row],[Variance total]]</f>
        <v>1360.5394939724188</v>
      </c>
      <c r="Z48" s="38">
        <f>Tabela715[[#This Row],[ESi ]]*Tabela715[[#This Row],[wi'']]</f>
        <v>14.950983450245401</v>
      </c>
    </row>
    <row r="49" spans="1:26" x14ac:dyDescent="0.2">
      <c r="A49" s="8" t="s">
        <v>154</v>
      </c>
      <c r="B49" s="9" t="s">
        <v>11</v>
      </c>
      <c r="C49" s="9" t="s">
        <v>35</v>
      </c>
      <c r="D49" s="10" t="s">
        <v>4</v>
      </c>
      <c r="E49" s="11" t="s">
        <v>48</v>
      </c>
      <c r="F49" s="22">
        <v>0.4969615765310274</v>
      </c>
      <c r="G49" s="12">
        <v>625</v>
      </c>
      <c r="H49" s="24">
        <f>ABS(Tabela58[[#This Row],[ESi(hh_total)]])/SQRT(0.25/Tabela58[[#This Row],[n_hh_total]])</f>
        <v>0.15192117344862976</v>
      </c>
      <c r="I49" s="22">
        <f>Tabela58[[#This Row],[%_females_hh_total]]-0.5</f>
        <v>-3.0384234689725953E-3</v>
      </c>
      <c r="J49" s="21">
        <f>Tabela58[[#This Row],[%_females_hh_total]]*(1-Tabela58[[#This Row],[%_females_hh_total]])/Tabela58[[#This Row],[n_hh_total]]</f>
        <v>3.9998522877251715E-4</v>
      </c>
      <c r="L49" s="8" t="s">
        <v>106</v>
      </c>
      <c r="M49" s="9" t="s">
        <v>15</v>
      </c>
      <c r="N49" s="32" t="s">
        <v>6</v>
      </c>
      <c r="O49" s="33">
        <f>VLOOKUP(Tabela715[[#This Row],[ID]],Tabela58[],9,0)</f>
        <v>1.7891886061856543E-2</v>
      </c>
      <c r="P49" s="34">
        <f>VLOOKUP(Tabela715[[#This Row],[ID]],Tabela58[],10,0)</f>
        <v>5.0955077635336636E-4</v>
      </c>
      <c r="Q49" s="34">
        <f>Tabela715[[#This Row],[Variance]]</f>
        <v>5.0955077635336636E-4</v>
      </c>
      <c r="R49" s="35">
        <f>1/Tabela715[[#This Row],[Variance within]]</f>
        <v>1962.5129553458162</v>
      </c>
      <c r="S49" s="36">
        <f>Tabela715[[#This Row],[ESi ]]*Tabela715[[#This Row],[wi]]</f>
        <v>35.113058191964704</v>
      </c>
      <c r="T49" s="36">
        <f>Tabela715[[#This Row],[ESi ]]^2*Tabela715[[#This Row],[wi]]</f>
        <v>0.62823883645397105</v>
      </c>
      <c r="U49" s="37">
        <f>Tabela715[[#This Row],[wi]]^2</f>
        <v>3851457.0999001693</v>
      </c>
      <c r="V49" s="34">
        <f>Tabela715[[#This Row],[Variance]]</f>
        <v>5.0955077635336636E-4</v>
      </c>
      <c r="W49" s="34">
        <f t="shared" si="0"/>
        <v>2.7734826316427039E-4</v>
      </c>
      <c r="X49" s="34">
        <f>Tabela715[[#This Row],[Variance within2]]+Tabela715[[#This Row],[Variance between]]</f>
        <v>7.8689903951763675E-4</v>
      </c>
      <c r="Y49" s="35">
        <f>1/Tabela715[[#This Row],[Variance total]]</f>
        <v>1270.8110567945191</v>
      </c>
      <c r="Z49" s="38">
        <f>Tabela715[[#This Row],[ESi ]]*Tabela715[[#This Row],[wi'']]</f>
        <v>22.73720663431504</v>
      </c>
    </row>
    <row r="50" spans="1:26" x14ac:dyDescent="0.2">
      <c r="A50" s="8" t="s">
        <v>155</v>
      </c>
      <c r="B50" s="9" t="s">
        <v>11</v>
      </c>
      <c r="C50" s="9" t="s">
        <v>35</v>
      </c>
      <c r="D50" s="10" t="s">
        <v>23</v>
      </c>
      <c r="E50" s="15" t="s">
        <v>6</v>
      </c>
      <c r="F50" s="22">
        <v>0.46376674370321075</v>
      </c>
      <c r="G50" s="12">
        <v>551</v>
      </c>
      <c r="H50" s="24">
        <f>ABS(Tabela58[[#This Row],[ESi(hh_total)]])/SQRT(0.25/Tabela58[[#This Row],[n_hh_total]])</f>
        <v>1.701034653250449</v>
      </c>
      <c r="I50" s="22">
        <f>Tabela58[[#This Row],[%_females_hh_total]]-0.5</f>
        <v>-3.6233256296789251E-2</v>
      </c>
      <c r="J50" s="21">
        <f>Tabela58[[#This Row],[%_females_hh_total]]*(1-Tabela58[[#This Row],[%_females_hh_total]])/Tabela58[[#This Row],[n_hh_total]]</f>
        <v>4.5133784235595496E-4</v>
      </c>
      <c r="L50" s="8" t="s">
        <v>108</v>
      </c>
      <c r="M50" s="9" t="s">
        <v>15</v>
      </c>
      <c r="N50" s="32" t="s">
        <v>6</v>
      </c>
      <c r="O50" s="33">
        <f>VLOOKUP(Tabela715[[#This Row],[ID]],Tabela58[],9,0)</f>
        <v>-1.8328526705399417E-2</v>
      </c>
      <c r="P50" s="34">
        <f>VLOOKUP(Tabela715[[#This Row],[ID]],Tabela58[],10,0)</f>
        <v>5.0744728680652326E-4</v>
      </c>
      <c r="Q50" s="34">
        <f>Tabela715[[#This Row],[Variance]]</f>
        <v>5.0744728680652326E-4</v>
      </c>
      <c r="R50" s="35">
        <f>1/Tabela715[[#This Row],[Variance within]]</f>
        <v>1970.6480377365276</v>
      </c>
      <c r="S50" s="36">
        <f>Tabela715[[#This Row],[ESi ]]*Tabela715[[#This Row],[wi]]</f>
        <v>-36.119075186596902</v>
      </c>
      <c r="T50" s="36">
        <f>Tabela715[[#This Row],[ESi ]]^2*Tabela715[[#This Row],[wi]]</f>
        <v>0.66200943413187086</v>
      </c>
      <c r="U50" s="37">
        <f>Tabela715[[#This Row],[wi]]^2</f>
        <v>3883453.6886348268</v>
      </c>
      <c r="V50" s="34">
        <f>Tabela715[[#This Row],[Variance]]</f>
        <v>5.0744728680652326E-4</v>
      </c>
      <c r="W50" s="34">
        <f t="shared" si="0"/>
        <v>2.7734826316427039E-4</v>
      </c>
      <c r="X50" s="34">
        <f>Tabela715[[#This Row],[Variance within2]]+Tabela715[[#This Row],[Variance between]]</f>
        <v>7.8479554997079365E-4</v>
      </c>
      <c r="Y50" s="35">
        <f>1/Tabela715[[#This Row],[Variance total]]</f>
        <v>1274.2172149640951</v>
      </c>
      <c r="Z50" s="38">
        <f>Tabela715[[#This Row],[ESi ]]*Tabela715[[#This Row],[wi'']]</f>
        <v>-23.354524252949087</v>
      </c>
    </row>
    <row r="51" spans="1:26" x14ac:dyDescent="0.2">
      <c r="A51" s="8" t="s">
        <v>156</v>
      </c>
      <c r="B51" s="9" t="s">
        <v>11</v>
      </c>
      <c r="C51" s="9" t="s">
        <v>35</v>
      </c>
      <c r="D51" s="10" t="s">
        <v>24</v>
      </c>
      <c r="E51" s="15" t="s">
        <v>6</v>
      </c>
      <c r="F51" s="22">
        <v>0.53083387014289651</v>
      </c>
      <c r="G51" s="12">
        <v>648</v>
      </c>
      <c r="H51" s="24">
        <f>ABS(Tabela58[[#This Row],[ESi(hh_total)]])/SQRT(0.25/Tabela58[[#This Row],[n_hh_total]])</f>
        <v>1.5698043841152634</v>
      </c>
      <c r="I51" s="22">
        <f>Tabela58[[#This Row],[%_females_hh_total]]-0.5</f>
        <v>3.0833870142896513E-2</v>
      </c>
      <c r="J51" s="21">
        <f>Tabela58[[#This Row],[%_females_hh_total]]*(1-Tabela58[[#This Row],[%_females_hh_total]])/Tabela58[[#This Row],[n_hh_total]]</f>
        <v>3.8433529699384415E-4</v>
      </c>
      <c r="L51" s="8" t="s">
        <v>109</v>
      </c>
      <c r="M51" s="9" t="s">
        <v>15</v>
      </c>
      <c r="N51" s="32" t="s">
        <v>6</v>
      </c>
      <c r="O51" s="33">
        <f>VLOOKUP(Tabela715[[#This Row],[ID]],Tabela58[],9,0)</f>
        <v>1.4863983016161653E-2</v>
      </c>
      <c r="P51" s="34">
        <f>VLOOKUP(Tabela715[[#This Row],[ID]],Tabela58[],10,0)</f>
        <v>4.6084697787619056E-4</v>
      </c>
      <c r="Q51" s="34">
        <f>Tabela715[[#This Row],[Variance]]</f>
        <v>4.6084697787619056E-4</v>
      </c>
      <c r="R51" s="35">
        <f>1/Tabela715[[#This Row],[Variance within]]</f>
        <v>2169.9176690026084</v>
      </c>
      <c r="S51" s="36">
        <f>Tabela715[[#This Row],[ESi ]]*Tabela715[[#This Row],[wi]]</f>
        <v>32.253619378523851</v>
      </c>
      <c r="T51" s="36">
        <f>Tabela715[[#This Row],[ESi ]]^2*Tabela715[[#This Row],[wi]]</f>
        <v>0.47941725065212087</v>
      </c>
      <c r="U51" s="37">
        <f>Tabela715[[#This Row],[wi]]^2</f>
        <v>4708542.6902497131</v>
      </c>
      <c r="V51" s="34">
        <f>Tabela715[[#This Row],[Variance]]</f>
        <v>4.6084697787619056E-4</v>
      </c>
      <c r="W51" s="34">
        <f t="shared" si="0"/>
        <v>2.7734826316427039E-4</v>
      </c>
      <c r="X51" s="34">
        <f>Tabela715[[#This Row],[Variance within2]]+Tabela715[[#This Row],[Variance between]]</f>
        <v>7.381952410404609E-4</v>
      </c>
      <c r="Y51" s="35">
        <f>1/Tabela715[[#This Row],[Variance total]]</f>
        <v>1354.6551703456314</v>
      </c>
      <c r="Z51" s="38">
        <f>Tabela715[[#This Row],[ESi ]]*Tabela715[[#This Row],[wi'']]</f>
        <v>20.135571444773035</v>
      </c>
    </row>
    <row r="52" spans="1:26" x14ac:dyDescent="0.2">
      <c r="A52" s="8" t="s">
        <v>157</v>
      </c>
      <c r="B52" s="9" t="s">
        <v>11</v>
      </c>
      <c r="C52" s="9" t="s">
        <v>35</v>
      </c>
      <c r="D52" s="10" t="s">
        <v>25</v>
      </c>
      <c r="E52" s="15" t="s">
        <v>6</v>
      </c>
      <c r="F52" s="22">
        <v>0.50878933807158211</v>
      </c>
      <c r="G52" s="12">
        <v>926</v>
      </c>
      <c r="H52" s="24">
        <f>ABS(Tabela58[[#This Row],[ESi(hh_total)]])/SQRT(0.25/Tabela58[[#This Row],[n_hh_total]])</f>
        <v>0.53492347647138105</v>
      </c>
      <c r="I52" s="22">
        <f>Tabela58[[#This Row],[%_females_hh_total]]-0.5</f>
        <v>8.789338071582109E-3</v>
      </c>
      <c r="J52" s="21">
        <f>Tabela58[[#This Row],[%_females_hh_total]]*(1-Tabela58[[#This Row],[%_females_hh_total]])/Tabela58[[#This Row],[n_hh_total]]</f>
        <v>2.6989497574110522E-4</v>
      </c>
      <c r="L52" s="8" t="s">
        <v>110</v>
      </c>
      <c r="M52" s="9" t="s">
        <v>15</v>
      </c>
      <c r="N52" s="32" t="s">
        <v>6</v>
      </c>
      <c r="O52" s="33">
        <f>VLOOKUP(Tabela715[[#This Row],[ID]],Tabela58[],9,0)</f>
        <v>3.7702487425642084E-2</v>
      </c>
      <c r="P52" s="34">
        <f>VLOOKUP(Tabela715[[#This Row],[ID]],Tabela58[],10,0)</f>
        <v>3.7549625746513489E-4</v>
      </c>
      <c r="Q52" s="34">
        <f>Tabela715[[#This Row],[Variance]]</f>
        <v>3.7549625746513489E-4</v>
      </c>
      <c r="R52" s="35">
        <f>1/Tabela715[[#This Row],[Variance within]]</f>
        <v>2663.1423885572303</v>
      </c>
      <c r="S52" s="36">
        <f>Tabela715[[#This Row],[ESi ]]*Tabela715[[#This Row],[wi]]</f>
        <v>100.4070924172734</v>
      </c>
      <c r="T52" s="36">
        <f>Tabela715[[#This Row],[ESi ]]^2*Tabela715[[#This Row],[wi]]</f>
        <v>3.7855971393075332</v>
      </c>
      <c r="U52" s="37">
        <f>Tabela715[[#This Row],[wi]]^2</f>
        <v>7092327.3817303097</v>
      </c>
      <c r="V52" s="34">
        <f>Tabela715[[#This Row],[Variance]]</f>
        <v>3.7549625746513489E-4</v>
      </c>
      <c r="W52" s="34">
        <f t="shared" si="0"/>
        <v>2.7734826316427039E-4</v>
      </c>
      <c r="X52" s="34">
        <f>Tabela715[[#This Row],[Variance within2]]+Tabela715[[#This Row],[Variance between]]</f>
        <v>6.5284452062940534E-4</v>
      </c>
      <c r="Y52" s="35">
        <f>1/Tabela715[[#This Row],[Variance total]]</f>
        <v>1531.7582799590677</v>
      </c>
      <c r="Z52" s="38">
        <f>Tabela715[[#This Row],[ESi ]]*Tabela715[[#This Row],[wi'']]</f>
        <v>57.751097289279897</v>
      </c>
    </row>
    <row r="53" spans="1:26" x14ac:dyDescent="0.2">
      <c r="A53" s="8" t="s">
        <v>158</v>
      </c>
      <c r="B53" s="9" t="s">
        <v>11</v>
      </c>
      <c r="C53" s="9" t="s">
        <v>35</v>
      </c>
      <c r="D53" s="10" t="s">
        <v>26</v>
      </c>
      <c r="E53" s="15" t="s">
        <v>6</v>
      </c>
      <c r="F53" s="22">
        <v>0.47843698407429741</v>
      </c>
      <c r="G53" s="12">
        <v>686</v>
      </c>
      <c r="H53" s="24">
        <f>ABS(Tabela58[[#This Row],[ESi(hh_total)]])/SQRT(0.25/Tabela58[[#This Row],[n_hh_total]])</f>
        <v>1.1295398494734092</v>
      </c>
      <c r="I53" s="22">
        <f>Tabela58[[#This Row],[%_females_hh_total]]-0.5</f>
        <v>-2.1563015925702589E-2</v>
      </c>
      <c r="J53" s="21">
        <f>Tabela58[[#This Row],[%_females_hh_total]]*(1-Tabela58[[#This Row],[%_females_hh_total]])/Tabela58[[#This Row],[n_hh_total]]</f>
        <v>3.6375369729473451E-4</v>
      </c>
      <c r="L53" s="8" t="s">
        <v>111</v>
      </c>
      <c r="M53" s="9" t="s">
        <v>15</v>
      </c>
      <c r="N53" s="32" t="s">
        <v>6</v>
      </c>
      <c r="O53" s="33">
        <f>VLOOKUP(Tabela715[[#This Row],[ID]],Tabela58[],9,0)</f>
        <v>4.3964232488822752E-2</v>
      </c>
      <c r="P53" s="34">
        <f>VLOOKUP(Tabela715[[#This Row],[ID]],Tabela58[],10,0)</f>
        <v>3.6969768444361956E-4</v>
      </c>
      <c r="Q53" s="34">
        <f>Tabela715[[#This Row],[Variance]]</f>
        <v>3.6969768444361956E-4</v>
      </c>
      <c r="R53" s="35">
        <f>1/Tabela715[[#This Row],[Variance within]]</f>
        <v>2704.9128032948342</v>
      </c>
      <c r="S53" s="36">
        <f>Tabela715[[#This Row],[ESi ]]*Tabela715[[#This Row],[wi]]</f>
        <v>118.91941534604737</v>
      </c>
      <c r="T53" s="36">
        <f>Tabela715[[#This Row],[ESi ]]^2*Tabela715[[#This Row],[wi]]</f>
        <v>5.2282008237085025</v>
      </c>
      <c r="U53" s="37">
        <f>Tabela715[[#This Row],[wi]]^2</f>
        <v>7316553.273428319</v>
      </c>
      <c r="V53" s="34">
        <f>Tabela715[[#This Row],[Variance]]</f>
        <v>3.6969768444361956E-4</v>
      </c>
      <c r="W53" s="34">
        <f t="shared" si="0"/>
        <v>2.7734826316427039E-4</v>
      </c>
      <c r="X53" s="34">
        <f>Tabela715[[#This Row],[Variance within2]]+Tabela715[[#This Row],[Variance between]]</f>
        <v>6.470459476078899E-4</v>
      </c>
      <c r="Y53" s="35">
        <f>1/Tabela715[[#This Row],[Variance total]]</f>
        <v>1545.4852993005691</v>
      </c>
      <c r="Z53" s="38">
        <f>Tabela715[[#This Row],[ESi ]]*Tabela715[[#This Row],[wi'']]</f>
        <v>67.946075006508039</v>
      </c>
    </row>
    <row r="54" spans="1:26" x14ac:dyDescent="0.2">
      <c r="A54" s="8" t="s">
        <v>159</v>
      </c>
      <c r="B54" s="9" t="s">
        <v>11</v>
      </c>
      <c r="C54" s="9" t="s">
        <v>35</v>
      </c>
      <c r="D54" s="10" t="s">
        <v>27</v>
      </c>
      <c r="E54" s="15" t="s">
        <v>6</v>
      </c>
      <c r="F54" s="22">
        <v>0.49427386178123656</v>
      </c>
      <c r="G54" s="12">
        <v>691</v>
      </c>
      <c r="H54" s="24">
        <f>ABS(Tabela58[[#This Row],[ESi(hh_total)]])/SQRT(0.25/Tabela58[[#This Row],[n_hh_total]])</f>
        <v>0.30104460334086652</v>
      </c>
      <c r="I54" s="22">
        <f>Tabela58[[#This Row],[%_females_hh_total]]-0.5</f>
        <v>-5.7261382187634435E-3</v>
      </c>
      <c r="J54" s="21">
        <f>Tabela58[[#This Row],[%_females_hh_total]]*(1-Tabela58[[#This Row],[%_females_hh_total]])/Tabela58[[#This Row],[n_hh_total]]</f>
        <v>3.6174704969768395E-4</v>
      </c>
      <c r="L54" s="8" t="s">
        <v>126</v>
      </c>
      <c r="M54" s="9" t="s">
        <v>18</v>
      </c>
      <c r="N54" s="32" t="s">
        <v>6</v>
      </c>
      <c r="O54" s="33">
        <f>VLOOKUP(Tabela715[[#This Row],[ID]],Tabela58[],9,0)</f>
        <v>-5.481539300090349E-2</v>
      </c>
      <c r="P54" s="34">
        <f>VLOOKUP(Tabela715[[#This Row],[ID]],Tabela58[],10,0)</f>
        <v>2.3235679462855737E-4</v>
      </c>
      <c r="Q54" s="34">
        <f>Tabela715[[#This Row],[Variance]]</f>
        <v>2.3235679462855737E-4</v>
      </c>
      <c r="R54" s="35">
        <f>1/Tabela715[[#This Row],[Variance within]]</f>
        <v>4303.7260933065782</v>
      </c>
      <c r="S54" s="36">
        <f>Tabela715[[#This Row],[ESi ]]*Tabela715[[#This Row],[wi]]</f>
        <v>-235.91043717284313</v>
      </c>
      <c r="T54" s="36">
        <f>Tabela715[[#This Row],[ESi ]]^2*Tabela715[[#This Row],[wi]]</f>
        <v>12.931523326644347</v>
      </c>
      <c r="U54" s="37">
        <f>Tabela715[[#This Row],[wi]]^2</f>
        <v>18522058.286207903</v>
      </c>
      <c r="V54" s="34">
        <f>Tabela715[[#This Row],[Variance]]</f>
        <v>2.3235679462855737E-4</v>
      </c>
      <c r="W54" s="34">
        <f t="shared" si="0"/>
        <v>2.7734826316427039E-4</v>
      </c>
      <c r="X54" s="34">
        <f>Tabela715[[#This Row],[Variance within2]]+Tabela715[[#This Row],[Variance between]]</f>
        <v>5.0970505779282776E-4</v>
      </c>
      <c r="Y54" s="35">
        <f>1/Tabela715[[#This Row],[Variance total]]</f>
        <v>1961.918926859963</v>
      </c>
      <c r="Z54" s="38">
        <f>Tabela715[[#This Row],[ESi ]]*Tabela715[[#This Row],[wi'']]</f>
        <v>-107.5433570117397</v>
      </c>
    </row>
    <row r="55" spans="1:26" x14ac:dyDescent="0.2">
      <c r="A55" s="8" t="s">
        <v>160</v>
      </c>
      <c r="B55" s="9" t="s">
        <v>11</v>
      </c>
      <c r="C55" s="9" t="s">
        <v>35</v>
      </c>
      <c r="D55" s="10" t="s">
        <v>47</v>
      </c>
      <c r="E55" s="15" t="s">
        <v>6</v>
      </c>
      <c r="F55" s="22">
        <v>0.46428571428571386</v>
      </c>
      <c r="G55" s="12">
        <v>700</v>
      </c>
      <c r="H55" s="24">
        <f>ABS(Tabela58[[#This Row],[ESi(hh_total)]])/SQRT(0.25/Tabela58[[#This Row],[n_hh_total]])</f>
        <v>1.889822365046159</v>
      </c>
      <c r="I55" s="22">
        <f>Tabela58[[#This Row],[%_females_hh_total]]-0.5</f>
        <v>-3.5714285714286143E-2</v>
      </c>
      <c r="J55" s="21">
        <f>Tabela58[[#This Row],[%_females_hh_total]]*(1-Tabela58[[#This Row],[%_females_hh_total]])/Tabela58[[#This Row],[n_hh_total]]</f>
        <v>3.5532069970845476E-4</v>
      </c>
      <c r="L55" s="8" t="s">
        <v>127</v>
      </c>
      <c r="M55" s="9" t="s">
        <v>18</v>
      </c>
      <c r="N55" s="32" t="s">
        <v>6</v>
      </c>
      <c r="O55" s="33">
        <f>VLOOKUP(Tabela715[[#This Row],[ID]],Tabela58[],9,0)</f>
        <v>-2.6490066225165643E-2</v>
      </c>
      <c r="P55" s="34">
        <f>VLOOKUP(Tabela715[[#This Row],[ID]],Tabela58[],10,0)</f>
        <v>2.7516366047614386E-4</v>
      </c>
      <c r="Q55" s="34">
        <f>Tabela715[[#This Row],[Variance]]</f>
        <v>2.7516366047614386E-4</v>
      </c>
      <c r="R55" s="35">
        <f>1/Tabela715[[#This Row],[Variance within]]</f>
        <v>3634.2008180498747</v>
      </c>
      <c r="S55" s="36">
        <f>Tabela715[[#This Row],[ESi ]]*Tabela715[[#This Row],[wi]]</f>
        <v>-96.270220345692337</v>
      </c>
      <c r="T55" s="36">
        <f>Tabela715[[#This Row],[ESi ]]^2*Tabela715[[#This Row],[wi]]</f>
        <v>2.550204512468679</v>
      </c>
      <c r="U55" s="37">
        <f>Tabela715[[#This Row],[wi]]^2</f>
        <v>13207415.585914379</v>
      </c>
      <c r="V55" s="34">
        <f>Tabela715[[#This Row],[Variance]]</f>
        <v>2.7516366047614386E-4</v>
      </c>
      <c r="W55" s="34">
        <f t="shared" si="0"/>
        <v>2.7734826316427039E-4</v>
      </c>
      <c r="X55" s="34">
        <f>Tabela715[[#This Row],[Variance within2]]+Tabela715[[#This Row],[Variance between]]</f>
        <v>5.5251192364041426E-4</v>
      </c>
      <c r="Y55" s="35">
        <f>1/Tabela715[[#This Row],[Variance total]]</f>
        <v>1809.9156908889081</v>
      </c>
      <c r="Z55" s="38">
        <f>Tabela715[[#This Row],[ESi ]]*Tabela715[[#This Row],[wi'']]</f>
        <v>-47.944786513613607</v>
      </c>
    </row>
    <row r="56" spans="1:26" x14ac:dyDescent="0.2">
      <c r="A56" s="8" t="s">
        <v>84</v>
      </c>
      <c r="B56" s="9" t="s">
        <v>12</v>
      </c>
      <c r="C56" s="9" t="s">
        <v>36</v>
      </c>
      <c r="D56" s="10" t="s">
        <v>4</v>
      </c>
      <c r="E56" s="14" t="s">
        <v>6</v>
      </c>
      <c r="F56" s="22">
        <v>0.50470219435736685</v>
      </c>
      <c r="G56" s="12">
        <v>957</v>
      </c>
      <c r="H56" s="24">
        <f>ABS(Tabela58[[#This Row],[ESi(hh_total)]])/SQRT(0.25/Tabela58[[#This Row],[n_hh_total]])</f>
        <v>0.29092868272586109</v>
      </c>
      <c r="I56" s="22">
        <f>Tabela58[[#This Row],[%_females_hh_total]]-0.5</f>
        <v>4.7021943573668512E-3</v>
      </c>
      <c r="J56" s="21">
        <f>Tabela58[[#This Row],[%_females_hh_total]]*(1-Tabela58[[#This Row],[%_females_hh_total]])/Tabela58[[#This Row],[n_hh_total]]</f>
        <v>2.6120991574527224E-4</v>
      </c>
      <c r="L56" s="8" t="s">
        <v>128</v>
      </c>
      <c r="M56" s="9" t="s">
        <v>18</v>
      </c>
      <c r="N56" s="32" t="s">
        <v>6</v>
      </c>
      <c r="O56" s="33">
        <f>VLOOKUP(Tabela715[[#This Row],[ID]],Tabela58[],9,0)</f>
        <v>-4.3655413271245502E-2</v>
      </c>
      <c r="P56" s="34">
        <f>VLOOKUP(Tabela715[[#This Row],[ID]],Tabela58[],10,0)</f>
        <v>2.8881746786043857E-4</v>
      </c>
      <c r="Q56" s="34">
        <f>Tabela715[[#This Row],[Variance]]</f>
        <v>2.8881746786043857E-4</v>
      </c>
      <c r="R56" s="35">
        <f>1/Tabela715[[#This Row],[Variance within]]</f>
        <v>3462.3944576760045</v>
      </c>
      <c r="S56" s="36">
        <f>Tabela715[[#This Row],[ESi ]]*Tabela715[[#This Row],[wi]]</f>
        <v>-151.15226095791593</v>
      </c>
      <c r="T56" s="36">
        <f>Tabela715[[#This Row],[ESi ]]^2*Tabela715[[#This Row],[wi]]</f>
        <v>6.5986144190009668</v>
      </c>
      <c r="U56" s="37">
        <f>Tabela715[[#This Row],[wi]]^2</f>
        <v>11988175.380545514</v>
      </c>
      <c r="V56" s="34">
        <f>Tabela715[[#This Row],[Variance]]</f>
        <v>2.8881746786043857E-4</v>
      </c>
      <c r="W56" s="34">
        <f t="shared" si="0"/>
        <v>2.7734826316427039E-4</v>
      </c>
      <c r="X56" s="34">
        <f>Tabela715[[#This Row],[Variance within2]]+Tabela715[[#This Row],[Variance between]]</f>
        <v>5.6616573102470896E-4</v>
      </c>
      <c r="Y56" s="35">
        <f>1/Tabela715[[#This Row],[Variance total]]</f>
        <v>1766.2672698153067</v>
      </c>
      <c r="Z56" s="38">
        <f>Tabela715[[#This Row],[ESi ]]*Tabela715[[#This Row],[wi'']]</f>
        <v>-77.107127611261703</v>
      </c>
    </row>
    <row r="57" spans="1:26" x14ac:dyDescent="0.2">
      <c r="A57" s="8" t="s">
        <v>85</v>
      </c>
      <c r="B57" s="9" t="s">
        <v>12</v>
      </c>
      <c r="C57" s="9" t="s">
        <v>36</v>
      </c>
      <c r="D57" s="10" t="s">
        <v>23</v>
      </c>
      <c r="E57" s="15" t="s">
        <v>6</v>
      </c>
      <c r="F57" s="22">
        <v>0.51065891472868208</v>
      </c>
      <c r="G57" s="12">
        <v>1032</v>
      </c>
      <c r="H57" s="24">
        <f>ABS(Tabela58[[#This Row],[ESi(hh_total)]])/SQRT(0.25/Tabela58[[#This Row],[n_hh_total]])</f>
        <v>0.68483008700115344</v>
      </c>
      <c r="I57" s="22">
        <f>Tabela58[[#This Row],[%_females_hh_total]]-0.5</f>
        <v>1.0658914728682078E-2</v>
      </c>
      <c r="J57" s="21">
        <f>Tabela58[[#This Row],[%_females_hh_total]]*(1-Tabela58[[#This Row],[%_females_hh_total]])/Tabela58[[#This Row],[n_hh_total]]</f>
        <v>2.4213797241938632E-4</v>
      </c>
      <c r="L57" s="8" t="s">
        <v>129</v>
      </c>
      <c r="M57" s="9" t="s">
        <v>18</v>
      </c>
      <c r="N57" s="32" t="s">
        <v>6</v>
      </c>
      <c r="O57" s="33">
        <f>VLOOKUP(Tabela715[[#This Row],[ID]],Tabela58[],9,0)</f>
        <v>-3.0769230769230382E-2</v>
      </c>
      <c r="P57" s="34">
        <f>VLOOKUP(Tabela715[[#This Row],[ID]],Tabela58[],10,0)</f>
        <v>3.1929904415111521E-4</v>
      </c>
      <c r="Q57" s="34">
        <f>Tabela715[[#This Row],[Variance]]</f>
        <v>3.1929904415111521E-4</v>
      </c>
      <c r="R57" s="35">
        <f>1/Tabela715[[#This Row],[Variance within]]</f>
        <v>3131.8602993585168</v>
      </c>
      <c r="S57" s="36">
        <f>Tabela715[[#This Row],[ESi ]]*Tabela715[[#This Row],[wi]]</f>
        <v>-96.364932287953152</v>
      </c>
      <c r="T57" s="36">
        <f>Tabela715[[#This Row],[ESi ]]^2*Tabela715[[#This Row],[wi]]</f>
        <v>2.9650748396292905</v>
      </c>
      <c r="U57" s="37">
        <f>Tabela715[[#This Row],[wi]]^2</f>
        <v>9808548.9346980192</v>
      </c>
      <c r="V57" s="34">
        <f>Tabela715[[#This Row],[Variance]]</f>
        <v>3.1929904415111521E-4</v>
      </c>
      <c r="W57" s="34">
        <f t="shared" si="0"/>
        <v>2.7734826316427039E-4</v>
      </c>
      <c r="X57" s="34">
        <f>Tabela715[[#This Row],[Variance within2]]+Tabela715[[#This Row],[Variance between]]</f>
        <v>5.9664730731538566E-4</v>
      </c>
      <c r="Y57" s="35">
        <f>1/Tabela715[[#This Row],[Variance total]]</f>
        <v>1676.0320338987192</v>
      </c>
      <c r="Z57" s="38">
        <f>Tabela715[[#This Row],[ESi ]]*Tabela715[[#This Row],[wi'']]</f>
        <v>-51.570216427652248</v>
      </c>
    </row>
    <row r="58" spans="1:26" x14ac:dyDescent="0.2">
      <c r="A58" s="8" t="s">
        <v>86</v>
      </c>
      <c r="B58" s="9" t="s">
        <v>12</v>
      </c>
      <c r="C58" s="9" t="s">
        <v>36</v>
      </c>
      <c r="D58" s="10" t="s">
        <v>24</v>
      </c>
      <c r="E58" s="15" t="s">
        <v>6</v>
      </c>
      <c r="F58" s="22">
        <v>0.47972304648862513</v>
      </c>
      <c r="G58" s="12">
        <v>1011</v>
      </c>
      <c r="H58" s="24">
        <f>ABS(Tabela58[[#This Row],[ESi(hh_total)]])/SQRT(0.25/Tabela58[[#This Row],[n_hh_total]])</f>
        <v>1.2894612006309996</v>
      </c>
      <c r="I58" s="22">
        <f>Tabela58[[#This Row],[%_females_hh_total]]-0.5</f>
        <v>-2.0276953511374873E-2</v>
      </c>
      <c r="J58" s="21">
        <f>Tabela58[[#This Row],[%_females_hh_total]]*(1-Tabela58[[#This Row],[%_females_hh_total]])/Tabela58[[#This Row],[n_hh_total]]</f>
        <v>2.468732395215604E-4</v>
      </c>
      <c r="L58" s="8" t="s">
        <v>130</v>
      </c>
      <c r="M58" s="9" t="s">
        <v>18</v>
      </c>
      <c r="N58" s="32" t="s">
        <v>6</v>
      </c>
      <c r="O58" s="33">
        <f>VLOOKUP(Tabela715[[#This Row],[ID]],Tabela58[],9,0)</f>
        <v>-3.3200871866259529E-2</v>
      </c>
      <c r="P58" s="34">
        <f>VLOOKUP(Tabela715[[#This Row],[ID]],Tabela58[],10,0)</f>
        <v>3.1991992558781516E-4</v>
      </c>
      <c r="Q58" s="34">
        <f>Tabela715[[#This Row],[Variance]]</f>
        <v>3.1991992558781516E-4</v>
      </c>
      <c r="R58" s="35">
        <f>1/Tabela715[[#This Row],[Variance within]]</f>
        <v>3125.7821724064793</v>
      </c>
      <c r="S58" s="36">
        <f>Tabela715[[#This Row],[ESi ]]*Tabela715[[#This Row],[wi]]</f>
        <v>-103.77869338790588</v>
      </c>
      <c r="T58" s="36">
        <f>Tabela715[[#This Row],[ESi ]]^2*Tabela715[[#This Row],[wi]]</f>
        <v>3.4455431016196978</v>
      </c>
      <c r="U58" s="37">
        <f>Tabela715[[#This Row],[wi]]^2</f>
        <v>9770514.189334169</v>
      </c>
      <c r="V58" s="34">
        <f>Tabela715[[#This Row],[Variance]]</f>
        <v>3.1991992558781516E-4</v>
      </c>
      <c r="W58" s="34">
        <f t="shared" si="0"/>
        <v>2.7734826316427039E-4</v>
      </c>
      <c r="X58" s="34">
        <f>Tabela715[[#This Row],[Variance within2]]+Tabela715[[#This Row],[Variance between]]</f>
        <v>5.9726818875208555E-4</v>
      </c>
      <c r="Y58" s="35">
        <f>1/Tabela715[[#This Row],[Variance total]]</f>
        <v>1674.2897392365235</v>
      </c>
      <c r="Z58" s="38">
        <f>Tabela715[[#This Row],[ESi ]]*Tabela715[[#This Row],[wi'']]</f>
        <v>-55.587879099384892</v>
      </c>
    </row>
    <row r="59" spans="1:26" x14ac:dyDescent="0.2">
      <c r="A59" s="8" t="s">
        <v>87</v>
      </c>
      <c r="B59" s="9" t="s">
        <v>12</v>
      </c>
      <c r="C59" s="9" t="s">
        <v>36</v>
      </c>
      <c r="D59" s="10" t="s">
        <v>25</v>
      </c>
      <c r="E59" s="15" t="s">
        <v>6</v>
      </c>
      <c r="F59" s="22">
        <v>0.4888475836431227</v>
      </c>
      <c r="G59" s="12">
        <v>1076</v>
      </c>
      <c r="H59" s="24">
        <f>ABS(Tabela58[[#This Row],[ESi(hh_total)]])/SQRT(0.25/Tabela58[[#This Row],[n_hh_total]])</f>
        <v>0.73165291301962954</v>
      </c>
      <c r="I59" s="22">
        <f>Tabela58[[#This Row],[%_females_hh_total]]-0.5</f>
        <v>-1.1152416356877304E-2</v>
      </c>
      <c r="J59" s="21">
        <f>Tabela58[[#This Row],[%_females_hh_total]]*(1-Tabela58[[#This Row],[%_females_hh_total]])/Tabela58[[#This Row],[n_hh_total]]</f>
        <v>2.3222641599386881E-4</v>
      </c>
      <c r="L59" s="8" t="s">
        <v>131</v>
      </c>
      <c r="M59" s="9" t="s">
        <v>18</v>
      </c>
      <c r="N59" s="32" t="s">
        <v>6</v>
      </c>
      <c r="O59" s="33">
        <f>VLOOKUP(Tabela715[[#This Row],[ID]],Tabela58[],9,0)</f>
        <v>-4.4757033248081668E-2</v>
      </c>
      <c r="P59" s="34">
        <f>VLOOKUP(Tabela715[[#This Row],[ID]],Tabela58[],10,0)</f>
        <v>3.17131467998504E-4</v>
      </c>
      <c r="Q59" s="34">
        <f>Tabela715[[#This Row],[Variance]]</f>
        <v>3.17131467998504E-4</v>
      </c>
      <c r="R59" s="35">
        <f>1/Tabela715[[#This Row],[Variance within]]</f>
        <v>3153.2663923616601</v>
      </c>
      <c r="S59" s="36">
        <f>Tabela715[[#This Row],[ESi ]]*Tabela715[[#This Row],[wi]]</f>
        <v>-141.13084876298936</v>
      </c>
      <c r="T59" s="36">
        <f>Tabela715[[#This Row],[ESi ]]^2*Tabela715[[#This Row],[wi]]</f>
        <v>6.3165980904151002</v>
      </c>
      <c r="U59" s="37">
        <f>Tabela715[[#This Row],[wi]]^2</f>
        <v>9943088.9411975183</v>
      </c>
      <c r="V59" s="34">
        <f>Tabela715[[#This Row],[Variance]]</f>
        <v>3.17131467998504E-4</v>
      </c>
      <c r="W59" s="34">
        <f t="shared" si="0"/>
        <v>2.7734826316427039E-4</v>
      </c>
      <c r="X59" s="34">
        <f>Tabela715[[#This Row],[Variance within2]]+Tabela715[[#This Row],[Variance between]]</f>
        <v>5.9447973116277439E-4</v>
      </c>
      <c r="Y59" s="35">
        <f>1/Tabela715[[#This Row],[Variance total]]</f>
        <v>1682.143137233707</v>
      </c>
      <c r="Z59" s="38">
        <f>Tabela715[[#This Row],[ESi ]]*Tabela715[[#This Row],[wi'']]</f>
        <v>-75.287736321201422</v>
      </c>
    </row>
    <row r="60" spans="1:26" x14ac:dyDescent="0.2">
      <c r="A60" s="8" t="s">
        <v>88</v>
      </c>
      <c r="B60" s="9" t="s">
        <v>12</v>
      </c>
      <c r="C60" s="9" t="s">
        <v>36</v>
      </c>
      <c r="D60" s="10" t="s">
        <v>26</v>
      </c>
      <c r="E60" s="15" t="s">
        <v>6</v>
      </c>
      <c r="F60" s="22">
        <v>0.48648648648648624</v>
      </c>
      <c r="G60" s="12">
        <v>925</v>
      </c>
      <c r="H60" s="24">
        <f>ABS(Tabela58[[#This Row],[ESi(hh_total)]])/SQRT(0.25/Tabela58[[#This Row],[n_hh_total]])</f>
        <v>0.82199493652680156</v>
      </c>
      <c r="I60" s="22">
        <f>Tabela58[[#This Row],[%_females_hh_total]]-0.5</f>
        <v>-1.3513513513513764E-2</v>
      </c>
      <c r="J60" s="21">
        <f>Tabela58[[#This Row],[%_females_hh_total]]*(1-Tabela58[[#This Row],[%_females_hh_total]])/Tabela58[[#This Row],[n_hh_total]]</f>
        <v>2.7007284859731904E-4</v>
      </c>
      <c r="L60" s="8" t="s">
        <v>132</v>
      </c>
      <c r="M60" s="9" t="s">
        <v>18</v>
      </c>
      <c r="N60" s="32" t="s">
        <v>6</v>
      </c>
      <c r="O60" s="33">
        <f>VLOOKUP(Tabela715[[#This Row],[ID]],Tabela58[],9,0)</f>
        <v>-3.7229212748032481E-2</v>
      </c>
      <c r="P60" s="34">
        <f>VLOOKUP(Tabela715[[#This Row],[ID]],Tabela58[],10,0)</f>
        <v>3.6294012513600254E-4</v>
      </c>
      <c r="Q60" s="34">
        <f>Tabela715[[#This Row],[Variance]]</f>
        <v>3.6294012513600254E-4</v>
      </c>
      <c r="R60" s="35">
        <f>1/Tabela715[[#This Row],[Variance within]]</f>
        <v>2755.2754042427123</v>
      </c>
      <c r="S60" s="36">
        <f>Tabela715[[#This Row],[ESi ]]*Tabela715[[#This Row],[wi]]</f>
        <v>-102.57673420397313</v>
      </c>
      <c r="T60" s="36">
        <f>Tabela715[[#This Row],[ESi ]]^2*Tabela715[[#This Row],[wi]]</f>
        <v>3.8188510606780959</v>
      </c>
      <c r="U60" s="37">
        <f>Tabela715[[#This Row],[wi]]^2</f>
        <v>7591542.5532248411</v>
      </c>
      <c r="V60" s="34">
        <f>Tabela715[[#This Row],[Variance]]</f>
        <v>3.6294012513600254E-4</v>
      </c>
      <c r="W60" s="34">
        <f t="shared" si="0"/>
        <v>2.7734826316427039E-4</v>
      </c>
      <c r="X60" s="34">
        <f>Tabela715[[#This Row],[Variance within2]]+Tabela715[[#This Row],[Variance between]]</f>
        <v>6.4028838830027294E-4</v>
      </c>
      <c r="Y60" s="35">
        <f>1/Tabela715[[#This Row],[Variance total]]</f>
        <v>1561.7962441184156</v>
      </c>
      <c r="Z60" s="38">
        <f>Tabela715[[#This Row],[ESi ]]*Tabela715[[#This Row],[wi'']]</f>
        <v>-58.144444641362568</v>
      </c>
    </row>
    <row r="61" spans="1:26" x14ac:dyDescent="0.2">
      <c r="A61" s="8" t="s">
        <v>89</v>
      </c>
      <c r="B61" s="9" t="s">
        <v>12</v>
      </c>
      <c r="C61" s="9" t="s">
        <v>36</v>
      </c>
      <c r="D61" s="10" t="s">
        <v>27</v>
      </c>
      <c r="E61" s="15" t="s">
        <v>6</v>
      </c>
      <c r="F61" s="22">
        <v>0.48294434470377012</v>
      </c>
      <c r="G61" s="12">
        <v>1114</v>
      </c>
      <c r="H61" s="24">
        <f>ABS(Tabela58[[#This Row],[ESi(hh_total)]])/SQRT(0.25/Tabela58[[#This Row],[n_hh_total]])</f>
        <v>1.1385208836527665</v>
      </c>
      <c r="I61" s="22">
        <f>Tabela58[[#This Row],[%_females_hh_total]]-0.5</f>
        <v>-1.7055655296229877E-2</v>
      </c>
      <c r="J61" s="21">
        <f>Tabela58[[#This Row],[%_females_hh_total]]*(1-Tabela58[[#This Row],[%_females_hh_total]])/Tabela58[[#This Row],[n_hh_total]]</f>
        <v>2.241553901457955E-4</v>
      </c>
      <c r="L61" s="8" t="s">
        <v>133</v>
      </c>
      <c r="M61" s="9" t="s">
        <v>19</v>
      </c>
      <c r="N61" s="32" t="s">
        <v>6</v>
      </c>
      <c r="O61" s="33">
        <f>VLOOKUP(Tabela715[[#This Row],[ID]],Tabela58[],9,0)</f>
        <v>-1.118197449477959E-2</v>
      </c>
      <c r="P61" s="34">
        <f>VLOOKUP(Tabela715[[#This Row],[ID]],Tabela58[],10,0)</f>
        <v>4.6187608770129041E-4</v>
      </c>
      <c r="Q61" s="34">
        <f>Tabela715[[#This Row],[Variance]]</f>
        <v>4.6187608770129041E-4</v>
      </c>
      <c r="R61" s="35">
        <f>1/Tabela715[[#This Row],[Variance within]]</f>
        <v>2165.0828579953049</v>
      </c>
      <c r="S61" s="36">
        <f>Tabela715[[#This Row],[ESi ]]*Tabela715[[#This Row],[wi]]</f>
        <v>-24.209901297188001</v>
      </c>
      <c r="T61" s="36">
        <f>Tabela715[[#This Row],[ESi ]]^2*Tabela715[[#This Row],[wi]]</f>
        <v>0.27071449882628751</v>
      </c>
      <c r="U61" s="37">
        <f>Tabela715[[#This Row],[wi]]^2</f>
        <v>4687583.7819851181</v>
      </c>
      <c r="V61" s="34">
        <f>Tabela715[[#This Row],[Variance]]</f>
        <v>4.6187608770129041E-4</v>
      </c>
      <c r="W61" s="34">
        <f t="shared" si="0"/>
        <v>2.7734826316427039E-4</v>
      </c>
      <c r="X61" s="34">
        <f>Tabela715[[#This Row],[Variance within2]]+Tabela715[[#This Row],[Variance between]]</f>
        <v>7.392243508655608E-4</v>
      </c>
      <c r="Y61" s="35">
        <f>1/Tabela715[[#This Row],[Variance total]]</f>
        <v>1352.7692896332433</v>
      </c>
      <c r="Z61" s="38">
        <f>Tabela715[[#This Row],[ESi ]]*Tabela715[[#This Row],[wi'']]</f>
        <v>-15.12663169400003</v>
      </c>
    </row>
    <row r="62" spans="1:26" x14ac:dyDescent="0.2">
      <c r="A62" s="8" t="s">
        <v>90</v>
      </c>
      <c r="B62" s="9" t="s">
        <v>12</v>
      </c>
      <c r="C62" s="9" t="s">
        <v>36</v>
      </c>
      <c r="D62" s="10" t="s">
        <v>47</v>
      </c>
      <c r="E62" s="15" t="s">
        <v>6</v>
      </c>
      <c r="F62" s="22">
        <v>0.48955495004541266</v>
      </c>
      <c r="G62" s="12">
        <v>1101</v>
      </c>
      <c r="H62" s="24">
        <f>ABS(Tabela58[[#This Row],[ESi(hh_total)]])/SQRT(0.25/Tabela58[[#This Row],[n_hh_total]])</f>
        <v>0.69316109088078881</v>
      </c>
      <c r="I62" s="22">
        <f>Tabela58[[#This Row],[%_females_hh_total]]-0.5</f>
        <v>-1.0445049954587338E-2</v>
      </c>
      <c r="J62" s="21">
        <f>Tabela58[[#This Row],[%_females_hh_total]]*(1-Tabela58[[#This Row],[%_females_hh_total]])/Tabela58[[#This Row],[n_hh_total]]</f>
        <v>2.2696721247179492E-4</v>
      </c>
      <c r="L62" s="8" t="s">
        <v>134</v>
      </c>
      <c r="M62" s="9" t="s">
        <v>19</v>
      </c>
      <c r="N62" s="32" t="s">
        <v>6</v>
      </c>
      <c r="O62" s="33">
        <f>VLOOKUP(Tabela715[[#This Row],[ID]],Tabela58[],9,0)</f>
        <v>-1.1385112937166042E-2</v>
      </c>
      <c r="P62" s="34">
        <f>VLOOKUP(Tabela715[[#This Row],[ID]],Tabela58[],10,0)</f>
        <v>5.3505434518931038E-4</v>
      </c>
      <c r="Q62" s="34">
        <f>Tabela715[[#This Row],[Variance]]</f>
        <v>5.3505434518931038E-4</v>
      </c>
      <c r="R62" s="35">
        <f>1/Tabela715[[#This Row],[Variance within]]</f>
        <v>1868.9690290173885</v>
      </c>
      <c r="S62" s="36">
        <f>Tabela715[[#This Row],[ESi ]]*Tabela715[[#This Row],[wi]]</f>
        <v>-21.278423471428525</v>
      </c>
      <c r="T62" s="36">
        <f>Tabela715[[#This Row],[ESi ]]^2*Tabela715[[#This Row],[wi]]</f>
        <v>0.24225725434705844</v>
      </c>
      <c r="U62" s="37">
        <f>Tabela715[[#This Row],[wi]]^2</f>
        <v>3493045.2314261999</v>
      </c>
      <c r="V62" s="34">
        <f>Tabela715[[#This Row],[Variance]]</f>
        <v>5.3505434518931038E-4</v>
      </c>
      <c r="W62" s="34">
        <f t="shared" si="0"/>
        <v>2.7734826316427039E-4</v>
      </c>
      <c r="X62" s="34">
        <f>Tabela715[[#This Row],[Variance within2]]+Tabela715[[#This Row],[Variance between]]</f>
        <v>8.1240260835358077E-4</v>
      </c>
      <c r="Y62" s="35">
        <f>1/Tabela715[[#This Row],[Variance total]]</f>
        <v>1230.916776629515</v>
      </c>
      <c r="Z62" s="38">
        <f>Tabela715[[#This Row],[ESi ]]*Tabela715[[#This Row],[wi'']]</f>
        <v>-14.014126518179413</v>
      </c>
    </row>
    <row r="63" spans="1:26" x14ac:dyDescent="0.2">
      <c r="A63" s="8" t="s">
        <v>91</v>
      </c>
      <c r="B63" s="9" t="s">
        <v>13</v>
      </c>
      <c r="C63" s="9" t="s">
        <v>37</v>
      </c>
      <c r="D63" s="10" t="s">
        <v>4</v>
      </c>
      <c r="E63" s="11" t="s">
        <v>48</v>
      </c>
      <c r="F63" s="22">
        <v>0.52844788859276293</v>
      </c>
      <c r="G63" s="12">
        <v>685</v>
      </c>
      <c r="H63" s="24">
        <f>ABS(Tabela58[[#This Row],[ESi(hh_total)]])/SQRT(0.25/Tabela58[[#This Row],[n_hh_total]])</f>
        <v>1.4891049933293246</v>
      </c>
      <c r="I63" s="22">
        <f>Tabela58[[#This Row],[%_females_hh_total]]-0.5</f>
        <v>2.8447888592762927E-2</v>
      </c>
      <c r="J63" s="21">
        <f>Tabela58[[#This Row],[%_females_hh_total]]*(1-Tabela58[[#This Row],[%_females_hh_total]])/Tabela58[[#This Row],[n_hh_total]]</f>
        <v>3.6378206953958215E-4</v>
      </c>
      <c r="L63" s="8" t="s">
        <v>135</v>
      </c>
      <c r="M63" s="9" t="s">
        <v>19</v>
      </c>
      <c r="N63" s="32" t="s">
        <v>6</v>
      </c>
      <c r="O63" s="33">
        <f>VLOOKUP(Tabela715[[#This Row],[ID]],Tabela58[],9,0)</f>
        <v>-1.3586664996383557E-2</v>
      </c>
      <c r="P63" s="34">
        <f>VLOOKUP(Tabela715[[#This Row],[ID]],Tabela58[],10,0)</f>
        <v>5.4664201867456468E-4</v>
      </c>
      <c r="Q63" s="34">
        <f>Tabela715[[#This Row],[Variance]]</f>
        <v>5.4664201867456468E-4</v>
      </c>
      <c r="R63" s="35">
        <f>1/Tabela715[[#This Row],[Variance within]]</f>
        <v>1829.3507740672517</v>
      </c>
      <c r="S63" s="36">
        <f>Tabela715[[#This Row],[ESi ]]*Tabela715[[#This Row],[wi]]</f>
        <v>-24.854776128126694</v>
      </c>
      <c r="T63" s="36">
        <f>Tabela715[[#This Row],[ESi ]]^2*Tabela715[[#This Row],[wi]]</f>
        <v>0.33769351681296861</v>
      </c>
      <c r="U63" s="37">
        <f>Tabela715[[#This Row],[wi]]^2</f>
        <v>3346524.254580453</v>
      </c>
      <c r="V63" s="34">
        <f>Tabela715[[#This Row],[Variance]]</f>
        <v>5.4664201867456468E-4</v>
      </c>
      <c r="W63" s="34">
        <f t="shared" si="0"/>
        <v>2.7734826316427039E-4</v>
      </c>
      <c r="X63" s="34">
        <f>Tabela715[[#This Row],[Variance within2]]+Tabela715[[#This Row],[Variance between]]</f>
        <v>8.2399028183883507E-4</v>
      </c>
      <c r="Y63" s="35">
        <f>1/Tabela715[[#This Row],[Variance total]]</f>
        <v>1213.6065461456387</v>
      </c>
      <c r="Z63" s="38">
        <f>Tabela715[[#This Row],[ESi ]]*Tabela715[[#This Row],[wi'']]</f>
        <v>-16.488865579898896</v>
      </c>
    </row>
    <row r="64" spans="1:26" x14ac:dyDescent="0.2">
      <c r="A64" s="8" t="s">
        <v>92</v>
      </c>
      <c r="B64" s="9" t="s">
        <v>13</v>
      </c>
      <c r="C64" s="9" t="s">
        <v>37</v>
      </c>
      <c r="D64" s="10" t="s">
        <v>23</v>
      </c>
      <c r="E64" s="11" t="s">
        <v>48</v>
      </c>
      <c r="F64" s="22">
        <v>0.49256871806910663</v>
      </c>
      <c r="G64" s="12">
        <v>850</v>
      </c>
      <c r="H64" s="24">
        <f>ABS(Tabela58[[#This Row],[ESi(hh_total)]])/SQRT(0.25/Tabela58[[#This Row],[n_hh_total]])</f>
        <v>0.43331447456072369</v>
      </c>
      <c r="I64" s="22">
        <f>Tabela58[[#This Row],[%_females_hh_total]]-0.5</f>
        <v>-7.4312819308933742E-3</v>
      </c>
      <c r="J64" s="21">
        <f>Tabela58[[#This Row],[%_females_hh_total]]*(1-Tabela58[[#This Row],[%_females_hh_total]])/Tabela58[[#This Row],[n_hh_total]]</f>
        <v>2.9405267770454542E-4</v>
      </c>
      <c r="L64" s="8" t="s">
        <v>136</v>
      </c>
      <c r="M64" s="9" t="s">
        <v>19</v>
      </c>
      <c r="N64" s="32" t="s">
        <v>6</v>
      </c>
      <c r="O64" s="33">
        <f>VLOOKUP(Tabela715[[#This Row],[ID]],Tabela58[],9,0)</f>
        <v>1.0444170421370802E-2</v>
      </c>
      <c r="P64" s="34">
        <f>VLOOKUP(Tabela715[[#This Row],[ID]],Tabela58[],10,0)</f>
        <v>5.2278435000880621E-4</v>
      </c>
      <c r="Q64" s="34">
        <f>Tabela715[[#This Row],[Variance]]</f>
        <v>5.2278435000880621E-4</v>
      </c>
      <c r="R64" s="35">
        <f>1/Tabela715[[#This Row],[Variance within]]</f>
        <v>1912.8346133222144</v>
      </c>
      <c r="S64" s="36">
        <f>Tabela715[[#This Row],[ESi ]]*Tabela715[[#This Row],[wi]]</f>
        <v>19.977970689434127</v>
      </c>
      <c r="T64" s="36">
        <f>Tabela715[[#This Row],[ESi ]]^2*Tabela715[[#This Row],[wi]]</f>
        <v>0.20865333055360075</v>
      </c>
      <c r="U64" s="37">
        <f>Tabela715[[#This Row],[wi]]^2</f>
        <v>3658936.2579235453</v>
      </c>
      <c r="V64" s="34">
        <f>Tabela715[[#This Row],[Variance]]</f>
        <v>5.2278435000880621E-4</v>
      </c>
      <c r="W64" s="34">
        <f t="shared" si="0"/>
        <v>2.7734826316427039E-4</v>
      </c>
      <c r="X64" s="34">
        <f>Tabela715[[#This Row],[Variance within2]]+Tabela715[[#This Row],[Variance between]]</f>
        <v>8.0013261317307661E-4</v>
      </c>
      <c r="Y64" s="35">
        <f>1/Tabela715[[#This Row],[Variance total]]</f>
        <v>1249.7928262595267</v>
      </c>
      <c r="Z64" s="38">
        <f>Tabela715[[#This Row],[ESi ]]*Tabela715[[#This Row],[wi'']]</f>
        <v>13.053049268861166</v>
      </c>
    </row>
    <row r="65" spans="1:26" x14ac:dyDescent="0.2">
      <c r="A65" s="8" t="s">
        <v>93</v>
      </c>
      <c r="B65" s="9" t="s">
        <v>13</v>
      </c>
      <c r="C65" s="9" t="s">
        <v>37</v>
      </c>
      <c r="D65" s="10" t="s">
        <v>24</v>
      </c>
      <c r="E65" s="11" t="s">
        <v>48</v>
      </c>
      <c r="F65" s="22">
        <v>0.49524407785691865</v>
      </c>
      <c r="G65" s="12">
        <v>997</v>
      </c>
      <c r="H65" s="24">
        <f>ABS(Tabela58[[#This Row],[ESi(hh_total)]])/SQRT(0.25/Tabela58[[#This Row],[n_hh_total]])</f>
        <v>0.3003394016425972</v>
      </c>
      <c r="I65" s="22">
        <f>Tabela58[[#This Row],[%_females_hh_total]]-0.5</f>
        <v>-4.7559221430813481E-3</v>
      </c>
      <c r="J65" s="21">
        <f>Tabela58[[#This Row],[%_females_hh_total]]*(1-Tabela58[[#This Row],[%_females_hh_total]])/Tabela58[[#This Row],[n_hh_total]]</f>
        <v>2.5072956991431186E-4</v>
      </c>
      <c r="L65" s="8" t="s">
        <v>137</v>
      </c>
      <c r="M65" s="9" t="s">
        <v>19</v>
      </c>
      <c r="N65" s="32" t="s">
        <v>6</v>
      </c>
      <c r="O65" s="33">
        <f>VLOOKUP(Tabela715[[#This Row],[ID]],Tabela58[],9,0)</f>
        <v>-1.6331345837409084E-2</v>
      </c>
      <c r="P65" s="34">
        <f>VLOOKUP(Tabela715[[#This Row],[ID]],Tabela58[],10,0)</f>
        <v>4.4357599847804426E-4</v>
      </c>
      <c r="Q65" s="34">
        <f>Tabela715[[#This Row],[Variance]]</f>
        <v>4.4357599847804426E-4</v>
      </c>
      <c r="R65" s="35">
        <f>1/Tabela715[[#This Row],[Variance within]]</f>
        <v>2254.4051153153118</v>
      </c>
      <c r="S65" s="36">
        <f>Tabela715[[#This Row],[ESi ]]*Tabela715[[#This Row],[wi]]</f>
        <v>-36.81746959583846</v>
      </c>
      <c r="T65" s="36">
        <f>Tabela715[[#This Row],[ESi ]]^2*Tabela715[[#This Row],[wi]]</f>
        <v>0.60127882882793193</v>
      </c>
      <c r="U65" s="37">
        <f>Tabela715[[#This Row],[wi]]^2</f>
        <v>5082342.4239598447</v>
      </c>
      <c r="V65" s="34">
        <f>Tabela715[[#This Row],[Variance]]</f>
        <v>4.4357599847804426E-4</v>
      </c>
      <c r="W65" s="34">
        <f t="shared" si="0"/>
        <v>2.7734826316427039E-4</v>
      </c>
      <c r="X65" s="34">
        <f>Tabela715[[#This Row],[Variance within2]]+Tabela715[[#This Row],[Variance between]]</f>
        <v>7.2092426164231465E-4</v>
      </c>
      <c r="Y65" s="35">
        <f>1/Tabela715[[#This Row],[Variance total]]</f>
        <v>1387.1082625544211</v>
      </c>
      <c r="Z65" s="38">
        <f>Tabela715[[#This Row],[ESi ]]*Tabela715[[#This Row],[wi'']]</f>
        <v>-22.653344749703891</v>
      </c>
    </row>
    <row r="66" spans="1:26" x14ac:dyDescent="0.2">
      <c r="A66" s="8" t="s">
        <v>94</v>
      </c>
      <c r="B66" s="9" t="s">
        <v>13</v>
      </c>
      <c r="C66" s="9" t="s">
        <v>37</v>
      </c>
      <c r="D66" s="10" t="s">
        <v>25</v>
      </c>
      <c r="E66" s="11" t="s">
        <v>48</v>
      </c>
      <c r="F66" s="22">
        <v>0.52301256096034154</v>
      </c>
      <c r="G66" s="12">
        <v>988</v>
      </c>
      <c r="H66" s="24">
        <f>ABS(Tabela58[[#This Row],[ESi(hh_total)]])/SQRT(0.25/Tabela58[[#This Row],[n_hh_total]])</f>
        <v>1.446683139336316</v>
      </c>
      <c r="I66" s="22">
        <f>Tabela58[[#This Row],[%_females_hh_total]]-0.5</f>
        <v>2.3012560960341544E-2</v>
      </c>
      <c r="J66" s="21">
        <f>Tabela58[[#This Row],[%_females_hh_total]]*(1-Tabela58[[#This Row],[%_females_hh_total]])/Tabela58[[#This Row],[n_hh_total]]</f>
        <v>2.5250042716401473E-4</v>
      </c>
      <c r="L66" s="8" t="s">
        <v>138</v>
      </c>
      <c r="M66" s="9" t="s">
        <v>19</v>
      </c>
      <c r="N66" s="32" t="s">
        <v>6</v>
      </c>
      <c r="O66" s="33">
        <f>VLOOKUP(Tabela715[[#This Row],[ID]],Tabela58[],9,0)</f>
        <v>-1.9896754119032023E-2</v>
      </c>
      <c r="P66" s="34">
        <f>VLOOKUP(Tabela715[[#This Row],[ID]],Tabela58[],10,0)</f>
        <v>3.8939800183389512E-4</v>
      </c>
      <c r="Q66" s="34">
        <f>Tabela715[[#This Row],[Variance]]</f>
        <v>3.8939800183389512E-4</v>
      </c>
      <c r="R66" s="35">
        <f>1/Tabela715[[#This Row],[Variance within]]</f>
        <v>2568.0665932810011</v>
      </c>
      <c r="S66" s="36">
        <f>Tabela715[[#This Row],[ESi ]]*Tabela715[[#This Row],[wi]]</f>
        <v>-51.096189567812296</v>
      </c>
      <c r="T66" s="36">
        <f>Tabela715[[#This Row],[ESi ]]^2*Tabela715[[#This Row],[wi]]</f>
        <v>1.0166483202502103</v>
      </c>
      <c r="U66" s="37">
        <f>Tabela715[[#This Row],[wi]]^2</f>
        <v>6594966.0275258869</v>
      </c>
      <c r="V66" s="34">
        <f>Tabela715[[#This Row],[Variance]]</f>
        <v>3.8939800183389512E-4</v>
      </c>
      <c r="W66" s="34">
        <f t="shared" si="0"/>
        <v>2.7734826316427039E-4</v>
      </c>
      <c r="X66" s="34">
        <f>Tabela715[[#This Row],[Variance within2]]+Tabela715[[#This Row],[Variance between]]</f>
        <v>6.6674626499816552E-4</v>
      </c>
      <c r="Y66" s="35">
        <f>1/Tabela715[[#This Row],[Variance total]]</f>
        <v>1499.8209251352182</v>
      </c>
      <c r="Z66" s="38">
        <f>Tabela715[[#This Row],[ESi ]]*Tabela715[[#This Row],[wi'']]</f>
        <v>-29.841568169994574</v>
      </c>
    </row>
    <row r="67" spans="1:26" x14ac:dyDescent="0.2">
      <c r="A67" s="8" t="s">
        <v>95</v>
      </c>
      <c r="B67" s="9" t="s">
        <v>13</v>
      </c>
      <c r="C67" s="9" t="s">
        <v>37</v>
      </c>
      <c r="D67" s="10" t="s">
        <v>26</v>
      </c>
      <c r="E67" s="11" t="s">
        <v>48</v>
      </c>
      <c r="F67" s="22">
        <v>0.5133411824954629</v>
      </c>
      <c r="G67" s="12">
        <v>763</v>
      </c>
      <c r="H67" s="24">
        <f>ABS(Tabela58[[#This Row],[ESi(hh_total)]])/SQRT(0.25/Tabela58[[#This Row],[n_hh_total]])</f>
        <v>0.7370324164861094</v>
      </c>
      <c r="I67" s="22">
        <f>Tabela58[[#This Row],[%_females_hh_total]]-0.5</f>
        <v>1.33411824954629E-2</v>
      </c>
      <c r="J67" s="21">
        <f>Tabela58[[#This Row],[%_females_hh_total]]*(1-Tabela58[[#This Row],[%_females_hh_total]])/Tabela58[[#This Row],[n_hh_total]]</f>
        <v>3.2742072457355538E-4</v>
      </c>
      <c r="L67" s="8" t="s">
        <v>139</v>
      </c>
      <c r="M67" s="9" t="s">
        <v>19</v>
      </c>
      <c r="N67" s="32" t="s">
        <v>6</v>
      </c>
      <c r="O67" s="33">
        <f>VLOOKUP(Tabela715[[#This Row],[ID]],Tabela58[],9,0)</f>
        <v>3.3012665111570194E-2</v>
      </c>
      <c r="P67" s="34">
        <f>VLOOKUP(Tabela715[[#This Row],[ID]],Tabela58[],10,0)</f>
        <v>5.0183500794804701E-4</v>
      </c>
      <c r="Q67" s="34">
        <f>Tabela715[[#This Row],[Variance]]</f>
        <v>5.0183500794804701E-4</v>
      </c>
      <c r="R67" s="35">
        <f>1/Tabela715[[#This Row],[Variance within]]</f>
        <v>1992.6868077396587</v>
      </c>
      <c r="S67" s="36">
        <f>Tabela715[[#This Row],[ESi ]]*Tabela715[[#This Row],[wi]]</f>
        <v>65.783902256153212</v>
      </c>
      <c r="T67" s="36">
        <f>Tabela715[[#This Row],[ESi ]]^2*Tabela715[[#This Row],[wi]]</f>
        <v>2.1717019349146529</v>
      </c>
      <c r="U67" s="37">
        <f>Tabela715[[#This Row],[wi]]^2</f>
        <v>3970800.7137396713</v>
      </c>
      <c r="V67" s="34">
        <f>Tabela715[[#This Row],[Variance]]</f>
        <v>5.0183500794804701E-4</v>
      </c>
      <c r="W67" s="34">
        <f t="shared" si="0"/>
        <v>2.7734826316427039E-4</v>
      </c>
      <c r="X67" s="34">
        <f>Tabela715[[#This Row],[Variance within2]]+Tabela715[[#This Row],[Variance between]]</f>
        <v>7.7918327111231741E-4</v>
      </c>
      <c r="Y67" s="35">
        <f>1/Tabela715[[#This Row],[Variance total]]</f>
        <v>1283.3951100778347</v>
      </c>
      <c r="Z67" s="38">
        <f>Tabela715[[#This Row],[ESi ]]*Tabela715[[#This Row],[wi'']]</f>
        <v>42.368292974826325</v>
      </c>
    </row>
    <row r="68" spans="1:26" x14ac:dyDescent="0.2">
      <c r="A68" s="8" t="s">
        <v>96</v>
      </c>
      <c r="B68" s="9" t="s">
        <v>13</v>
      </c>
      <c r="C68" s="9" t="s">
        <v>37</v>
      </c>
      <c r="D68" s="10" t="s">
        <v>27</v>
      </c>
      <c r="E68" s="11" t="s">
        <v>48</v>
      </c>
      <c r="F68" s="22">
        <v>0.49500314035282827</v>
      </c>
      <c r="G68" s="12">
        <v>847</v>
      </c>
      <c r="H68" s="24">
        <f>ABS(Tabela58[[#This Row],[ESi(hh_total)]])/SQRT(0.25/Tabela58[[#This Row],[n_hh_total]])</f>
        <v>0.29084985517962747</v>
      </c>
      <c r="I68" s="22">
        <f>Tabela58[[#This Row],[%_females_hh_total]]-0.5</f>
        <v>-4.9968596471717253E-3</v>
      </c>
      <c r="J68" s="21">
        <f>Tabela58[[#This Row],[%_females_hh_total]]*(1-Tabela58[[#This Row],[%_females_hh_total]])/Tabela58[[#This Row],[n_hh_total]]</f>
        <v>2.9512990719441138E-4</v>
      </c>
      <c r="L68" s="8" t="s">
        <v>161</v>
      </c>
      <c r="M68" s="9" t="s">
        <v>21</v>
      </c>
      <c r="N68" s="32" t="s">
        <v>6</v>
      </c>
      <c r="O68" s="33">
        <f>VLOOKUP(Tabela715[[#This Row],[ID]],Tabela58[],9,0)</f>
        <v>-4.9407114624509529E-3</v>
      </c>
      <c r="P68" s="34">
        <f>VLOOKUP(Tabela715[[#This Row],[ID]],Tabela58[],10,0)</f>
        <v>2.470114519468822E-4</v>
      </c>
      <c r="Q68" s="34">
        <f>Tabela715[[#This Row],[Variance]]</f>
        <v>2.470114519468822E-4</v>
      </c>
      <c r="R68" s="35">
        <f>1/Tabela715[[#This Row],[Variance within]]</f>
        <v>4048.395295514646</v>
      </c>
      <c r="S68" s="36">
        <f>Tabela715[[#This Row],[ESi ]]*Tabela715[[#This Row],[wi]]</f>
        <v>-20.001953041081723</v>
      </c>
      <c r="T68" s="36">
        <f>Tabela715[[#This Row],[ESi ]]^2*Tabela715[[#This Row],[wi]]</f>
        <v>9.8823878661478182E-2</v>
      </c>
      <c r="U68" s="37">
        <f>Tabela715[[#This Row],[wi]]^2</f>
        <v>16389504.468745118</v>
      </c>
      <c r="V68" s="34">
        <f>Tabela715[[#This Row],[Variance]]</f>
        <v>2.470114519468822E-4</v>
      </c>
      <c r="W68" s="34">
        <f t="shared" si="0"/>
        <v>2.7734826316427039E-4</v>
      </c>
      <c r="X68" s="34">
        <f>Tabela715[[#This Row],[Variance within2]]+Tabela715[[#This Row],[Variance between]]</f>
        <v>5.2435971511115265E-4</v>
      </c>
      <c r="Y68" s="35">
        <f>1/Tabela715[[#This Row],[Variance total]]</f>
        <v>1907.0877704402255</v>
      </c>
      <c r="Z68" s="38">
        <f>Tabela715[[#This Row],[ESi ]]*Tabela715[[#This Row],[wi'']]</f>
        <v>-9.4223704073140535</v>
      </c>
    </row>
    <row r="69" spans="1:26" x14ac:dyDescent="0.2">
      <c r="A69" s="8" t="s">
        <v>97</v>
      </c>
      <c r="B69" s="9" t="s">
        <v>13</v>
      </c>
      <c r="C69" s="9" t="s">
        <v>37</v>
      </c>
      <c r="D69" s="10" t="s">
        <v>47</v>
      </c>
      <c r="E69" s="11" t="s">
        <v>48</v>
      </c>
      <c r="F69" s="22">
        <v>0.50140900015760093</v>
      </c>
      <c r="G69" s="12">
        <v>848</v>
      </c>
      <c r="H69" s="24">
        <f>ABS(Tabela58[[#This Row],[ESi(hh_total)]])/SQRT(0.25/Tabela58[[#This Row],[n_hh_total]])</f>
        <v>8.2061407850786472E-2</v>
      </c>
      <c r="I69" s="22">
        <f>Tabela58[[#This Row],[%_females_hh_total]]-0.5</f>
        <v>1.4090001576009259E-3</v>
      </c>
      <c r="J69" s="21">
        <f>Tabela58[[#This Row],[%_females_hh_total]]*(1-Tabela58[[#This Row],[%_females_hh_total]])/Tabela58[[#This Row],[n_hh_total]]</f>
        <v>2.9480897962093854E-4</v>
      </c>
      <c r="L69" s="8" t="s">
        <v>162</v>
      </c>
      <c r="M69" s="9" t="s">
        <v>21</v>
      </c>
      <c r="N69" s="32" t="s">
        <v>6</v>
      </c>
      <c r="O69" s="33">
        <f>VLOOKUP(Tabela715[[#This Row],[ID]],Tabela58[],9,0)</f>
        <v>-1.3429752066115408E-2</v>
      </c>
      <c r="P69" s="34">
        <f>VLOOKUP(Tabela715[[#This Row],[ID]],Tabela58[],10,0)</f>
        <v>2.580781423134738E-4</v>
      </c>
      <c r="Q69" s="34">
        <f>Tabela715[[#This Row],[Variance]]</f>
        <v>2.580781423134738E-4</v>
      </c>
      <c r="R69" s="35">
        <f>1/Tabela715[[#This Row],[Variance within]]</f>
        <v>3874.795405127154</v>
      </c>
      <c r="S69" s="36">
        <f>Tabela715[[#This Row],[ESi ]]*Tabela715[[#This Row],[wi]]</f>
        <v>-52.037541597780887</v>
      </c>
      <c r="T69" s="36">
        <f>Tabela715[[#This Row],[ESi ]]^2*Tabela715[[#This Row],[wi]]</f>
        <v>0.69885128178836431</v>
      </c>
      <c r="U69" s="37">
        <f>Tabela715[[#This Row],[wi]]^2</f>
        <v>15014039.431594506</v>
      </c>
      <c r="V69" s="34">
        <f>Tabela715[[#This Row],[Variance]]</f>
        <v>2.580781423134738E-4</v>
      </c>
      <c r="W69" s="34">
        <f t="shared" ref="W69:W81" si="1">$U$90</f>
        <v>2.7734826316427039E-4</v>
      </c>
      <c r="X69" s="34">
        <f>Tabela715[[#This Row],[Variance within2]]+Tabela715[[#This Row],[Variance between]]</f>
        <v>5.3542640547774413E-4</v>
      </c>
      <c r="Y69" s="35">
        <f>1/Tabela715[[#This Row],[Variance total]]</f>
        <v>1867.6703086911291</v>
      </c>
      <c r="Z69" s="38">
        <f>Tabela715[[#This Row],[ESi ]]*Tabela715[[#This Row],[wi'']]</f>
        <v>-25.082349186967093</v>
      </c>
    </row>
    <row r="70" spans="1:26" x14ac:dyDescent="0.2">
      <c r="A70" s="8" t="s">
        <v>175</v>
      </c>
      <c r="B70" s="9" t="s">
        <v>14</v>
      </c>
      <c r="C70" s="9" t="s">
        <v>38</v>
      </c>
      <c r="D70" s="10" t="s">
        <v>4</v>
      </c>
      <c r="E70" s="11" t="s">
        <v>48</v>
      </c>
      <c r="F70" s="22">
        <v>0.49313361241571951</v>
      </c>
      <c r="G70" s="12">
        <v>891</v>
      </c>
      <c r="H70" s="24">
        <f>ABS(Tabela58[[#This Row],[ESi(hh_total)]])/SQRT(0.25/Tabela58[[#This Row],[n_hh_total]])</f>
        <v>0.40991816307983736</v>
      </c>
      <c r="I70" s="22">
        <f>Tabela58[[#This Row],[%_females_hh_total]]-0.5</f>
        <v>-6.8663875842804867E-3</v>
      </c>
      <c r="J70" s="21">
        <f>Tabela58[[#This Row],[%_females_hh_total]]*(1-Tabela58[[#This Row],[%_females_hh_total]])/Tabela58[[#This Row],[n_hh_total]]</f>
        <v>2.8053069890184338E-4</v>
      </c>
      <c r="L70" s="8" t="s">
        <v>163</v>
      </c>
      <c r="M70" s="9" t="s">
        <v>21</v>
      </c>
      <c r="N70" s="32" t="s">
        <v>6</v>
      </c>
      <c r="O70" s="33">
        <f>VLOOKUP(Tabela715[[#This Row],[ID]],Tabela58[],9,0)</f>
        <v>-1.4553014553014609E-2</v>
      </c>
      <c r="P70" s="34">
        <f>VLOOKUP(Tabela715[[#This Row],[ID]],Tabela58[],10,0)</f>
        <v>2.5965510370833654E-4</v>
      </c>
      <c r="Q70" s="34">
        <f>Tabela715[[#This Row],[Variance]]</f>
        <v>2.5965510370833654E-4</v>
      </c>
      <c r="R70" s="35">
        <f>1/Tabela715[[#This Row],[Variance within]]</f>
        <v>3851.2626392403695</v>
      </c>
      <c r="S70" s="36">
        <f>Tabela715[[#This Row],[ESi ]]*Tabela715[[#This Row],[wi]]</f>
        <v>-56.047481236346549</v>
      </c>
      <c r="T70" s="36">
        <f>Tabela715[[#This Row],[ESi ]]^2*Tabela715[[#This Row],[wi]]</f>
        <v>0.81565981009236455</v>
      </c>
      <c r="U70" s="37">
        <f>Tabela715[[#This Row],[wi]]^2</f>
        <v>14832223.916408697</v>
      </c>
      <c r="V70" s="34">
        <f>Tabela715[[#This Row],[Variance]]</f>
        <v>2.5965510370833654E-4</v>
      </c>
      <c r="W70" s="34">
        <f t="shared" si="1"/>
        <v>2.7734826316427039E-4</v>
      </c>
      <c r="X70" s="34">
        <f>Tabela715[[#This Row],[Variance within2]]+Tabela715[[#This Row],[Variance between]]</f>
        <v>5.3700336687260693E-4</v>
      </c>
      <c r="Y70" s="35">
        <f>1/Tabela715[[#This Row],[Variance total]]</f>
        <v>1862.1857174262923</v>
      </c>
      <c r="Z70" s="38">
        <f>Tabela715[[#This Row],[ESi ]]*Tabela715[[#This Row],[wi'']]</f>
        <v>-27.100415846120782</v>
      </c>
    </row>
    <row r="71" spans="1:26" x14ac:dyDescent="0.2">
      <c r="A71" s="8" t="s">
        <v>176</v>
      </c>
      <c r="B71" s="9" t="s">
        <v>14</v>
      </c>
      <c r="C71" s="9" t="s">
        <v>38</v>
      </c>
      <c r="D71" s="10" t="s">
        <v>23</v>
      </c>
      <c r="E71" s="11" t="s">
        <v>48</v>
      </c>
      <c r="F71" s="22">
        <v>0.49307911850392477</v>
      </c>
      <c r="G71" s="12">
        <v>787</v>
      </c>
      <c r="H71" s="24">
        <f>ABS(Tabela58[[#This Row],[ESi(hh_total)]])/SQRT(0.25/Tabela58[[#This Row],[n_hh_total]])</f>
        <v>0.38831017878648433</v>
      </c>
      <c r="I71" s="22">
        <f>Tabela58[[#This Row],[%_females_hh_total]]-0.5</f>
        <v>-6.9208814960752263E-3</v>
      </c>
      <c r="J71" s="21">
        <f>Tabela58[[#This Row],[%_females_hh_total]]*(1-Tabela58[[#This Row],[%_females_hh_total]])/Tabela58[[#This Row],[n_hh_total]]</f>
        <v>3.1760114536126722E-4</v>
      </c>
      <c r="L71" s="8" t="s">
        <v>164</v>
      </c>
      <c r="M71" s="9" t="s">
        <v>21</v>
      </c>
      <c r="N71" s="32" t="s">
        <v>6</v>
      </c>
      <c r="O71" s="33">
        <f>VLOOKUP(Tabela715[[#This Row],[ID]],Tabela58[],9,0)</f>
        <v>-8.7912087912089265E-3</v>
      </c>
      <c r="P71" s="34">
        <f>VLOOKUP(Tabela715[[#This Row],[ID]],Tabela58[],10,0)</f>
        <v>2.7464034576702134E-4</v>
      </c>
      <c r="Q71" s="34">
        <f>Tabela715[[#This Row],[Variance]]</f>
        <v>2.7464034576702134E-4</v>
      </c>
      <c r="R71" s="35">
        <f>1/Tabela715[[#This Row],[Variance within]]</f>
        <v>3641.1256227018612</v>
      </c>
      <c r="S71" s="36">
        <f>Tabela715[[#This Row],[ESi ]]*Tabela715[[#This Row],[wi]]</f>
        <v>-32.009895584192677</v>
      </c>
      <c r="T71" s="36">
        <f>Tabela715[[#This Row],[ESi ]]^2*Tabela715[[#This Row],[wi]]</f>
        <v>0.28140567546543449</v>
      </c>
      <c r="U71" s="37">
        <f>Tabela715[[#This Row],[wi]]^2</f>
        <v>13257795.800296016</v>
      </c>
      <c r="V71" s="34">
        <f>Tabela715[[#This Row],[Variance]]</f>
        <v>2.7464034576702134E-4</v>
      </c>
      <c r="W71" s="34">
        <f t="shared" si="1"/>
        <v>2.7734826316427039E-4</v>
      </c>
      <c r="X71" s="34">
        <f>Tabela715[[#This Row],[Variance within2]]+Tabela715[[#This Row],[Variance between]]</f>
        <v>5.5198860893129168E-4</v>
      </c>
      <c r="Y71" s="35">
        <f>1/Tabela715[[#This Row],[Variance total]]</f>
        <v>1811.6315877171917</v>
      </c>
      <c r="Z71" s="38">
        <f>Tabela715[[#This Row],[ESi ]]*Tabela715[[#This Row],[wi'']]</f>
        <v>-15.92643154037116</v>
      </c>
    </row>
    <row r="72" spans="1:26" x14ac:dyDescent="0.2">
      <c r="A72" s="8" t="s">
        <v>177</v>
      </c>
      <c r="B72" s="9" t="s">
        <v>14</v>
      </c>
      <c r="C72" s="9" t="s">
        <v>38</v>
      </c>
      <c r="D72" s="10" t="s">
        <v>24</v>
      </c>
      <c r="E72" s="11" t="s">
        <v>48</v>
      </c>
      <c r="F72" s="22">
        <v>0.51371136819124286</v>
      </c>
      <c r="G72" s="12">
        <v>997</v>
      </c>
      <c r="H72" s="24">
        <f>ABS(Tabela58[[#This Row],[ESi(hh_total)]])/SQRT(0.25/Tabela58[[#This Row],[n_hh_total]])</f>
        <v>0.86588131478349595</v>
      </c>
      <c r="I72" s="22">
        <f>Tabela58[[#This Row],[%_females_hh_total]]-0.5</f>
        <v>1.3711368191242856E-2</v>
      </c>
      <c r="J72" s="21">
        <f>Tabela58[[#This Row],[%_females_hh_total]]*(1-Tabela58[[#This Row],[%_females_hh_total]])/Tabela58[[#This Row],[n_hh_total]]</f>
        <v>2.5056368945067622E-4</v>
      </c>
      <c r="L72" s="8" t="s">
        <v>165</v>
      </c>
      <c r="M72" s="9" t="s">
        <v>21</v>
      </c>
      <c r="N72" s="32" t="s">
        <v>6</v>
      </c>
      <c r="O72" s="33">
        <f>VLOOKUP(Tabela715[[#This Row],[ID]],Tabela58[],9,0)</f>
        <v>4.6854082998666335E-3</v>
      </c>
      <c r="P72" s="34">
        <f>VLOOKUP(Tabela715[[#This Row],[ID]],Tabela58[],10,0)</f>
        <v>3.3464263313127648E-4</v>
      </c>
      <c r="Q72" s="34">
        <f>Tabela715[[#This Row],[Variance]]</f>
        <v>3.3464263313127648E-4</v>
      </c>
      <c r="R72" s="35">
        <f>1/Tabela715[[#This Row],[Variance within]]</f>
        <v>2988.2624059072336</v>
      </c>
      <c r="S72" s="36">
        <f>Tabela715[[#This Row],[ESi ]]*Tabela715[[#This Row],[wi]]</f>
        <v>14.001229478817187</v>
      </c>
      <c r="T72" s="36">
        <f>Tabela715[[#This Row],[ESi ]]^2*Tabela715[[#This Row],[wi]]</f>
        <v>6.5601476808387432E-2</v>
      </c>
      <c r="U72" s="37">
        <f>Tabela715[[#This Row],[wi]]^2</f>
        <v>8929712.2065584883</v>
      </c>
      <c r="V72" s="34">
        <f>Tabela715[[#This Row],[Variance]]</f>
        <v>3.3464263313127648E-4</v>
      </c>
      <c r="W72" s="34">
        <f t="shared" si="1"/>
        <v>2.7734826316427039E-4</v>
      </c>
      <c r="X72" s="34">
        <f>Tabela715[[#This Row],[Variance within2]]+Tabela715[[#This Row],[Variance between]]</f>
        <v>6.1199089629554687E-4</v>
      </c>
      <c r="Y72" s="35">
        <f>1/Tabela715[[#This Row],[Variance total]]</f>
        <v>1634.0112345675695</v>
      </c>
      <c r="Z72" s="38">
        <f>Tabela715[[#This Row],[ESi ]]*Tabela715[[#This Row],[wi'']]</f>
        <v>7.6560098005182153</v>
      </c>
    </row>
    <row r="73" spans="1:26" x14ac:dyDescent="0.2">
      <c r="A73" s="8" t="s">
        <v>178</v>
      </c>
      <c r="B73" s="9" t="s">
        <v>14</v>
      </c>
      <c r="C73" s="9" t="s">
        <v>38</v>
      </c>
      <c r="D73" s="10" t="s">
        <v>25</v>
      </c>
      <c r="E73" s="11" t="s">
        <v>48</v>
      </c>
      <c r="F73" s="22">
        <v>0.48634402512119707</v>
      </c>
      <c r="G73" s="12">
        <v>952</v>
      </c>
      <c r="H73" s="24">
        <f>ABS(Tabela58[[#This Row],[ESi(hh_total)]])/SQRT(0.25/Tabela58[[#This Row],[n_hh_total]])</f>
        <v>0.84269647844464846</v>
      </c>
      <c r="I73" s="22">
        <f>Tabela58[[#This Row],[%_females_hh_total]]-0.5</f>
        <v>-1.3655974878802934E-2</v>
      </c>
      <c r="J73" s="21">
        <f>Tabela58[[#This Row],[%_females_hh_total]]*(1-Tabela58[[#This Row],[%_females_hh_total]])/Tabela58[[#This Row],[n_hh_total]]</f>
        <v>2.6240915372910666E-4</v>
      </c>
      <c r="L73" s="8" t="s">
        <v>166</v>
      </c>
      <c r="M73" s="9" t="s">
        <v>21</v>
      </c>
      <c r="N73" s="32" t="s">
        <v>6</v>
      </c>
      <c r="O73" s="33">
        <f>VLOOKUP(Tabela715[[#This Row],[ID]],Tabela58[],9,0)</f>
        <v>-3.5991140642303576E-2</v>
      </c>
      <c r="P73" s="34">
        <f>VLOOKUP(Tabela715[[#This Row],[ID]],Tabela58[],10,0)</f>
        <v>2.7542041837792461E-4</v>
      </c>
      <c r="Q73" s="34">
        <f>Tabela715[[#This Row],[Variance]]</f>
        <v>2.7542041837792461E-4</v>
      </c>
      <c r="R73" s="35">
        <f>1/Tabela715[[#This Row],[Variance within]]</f>
        <v>3630.812871062546</v>
      </c>
      <c r="S73" s="36">
        <f>Tabela715[[#This Row],[ESi ]]*Tabela715[[#This Row],[wi]]</f>
        <v>-130.67709668829812</v>
      </c>
      <c r="T73" s="36">
        <f>Tabela715[[#This Row],[ESi ]]^2*Tabela715[[#This Row],[wi]]</f>
        <v>4.7032177656364409</v>
      </c>
      <c r="U73" s="37">
        <f>Tabela715[[#This Row],[wi]]^2</f>
        <v>13182802.104673449</v>
      </c>
      <c r="V73" s="34">
        <f>Tabela715[[#This Row],[Variance]]</f>
        <v>2.7542041837792461E-4</v>
      </c>
      <c r="W73" s="34">
        <f t="shared" si="1"/>
        <v>2.7734826316427039E-4</v>
      </c>
      <c r="X73" s="34">
        <f>Tabela715[[#This Row],[Variance within2]]+Tabela715[[#This Row],[Variance between]]</f>
        <v>5.52768681542195E-4</v>
      </c>
      <c r="Y73" s="35">
        <f>1/Tabela715[[#This Row],[Variance total]]</f>
        <v>1809.0749953670559</v>
      </c>
      <c r="Z73" s="38">
        <f>Tabela715[[#This Row],[ESi ]]*Tabela715[[#This Row],[wi'']]</f>
        <v>-65.110672590730402</v>
      </c>
    </row>
    <row r="74" spans="1:26" x14ac:dyDescent="0.2">
      <c r="A74" s="8" t="s">
        <v>179</v>
      </c>
      <c r="B74" s="9" t="s">
        <v>14</v>
      </c>
      <c r="C74" s="9" t="s">
        <v>38</v>
      </c>
      <c r="D74" s="10" t="s">
        <v>26</v>
      </c>
      <c r="E74" s="11" t="s">
        <v>48</v>
      </c>
      <c r="F74" s="22">
        <v>0.53253849975161516</v>
      </c>
      <c r="G74" s="12">
        <v>1004</v>
      </c>
      <c r="H74" s="24">
        <f>ABS(Tabela58[[#This Row],[ESi(hh_total)]])/SQRT(0.25/Tabela58[[#This Row],[n_hh_total]])</f>
        <v>2.0620271404132424</v>
      </c>
      <c r="I74" s="22">
        <f>Tabela58[[#This Row],[%_females_hh_total]]-0.5</f>
        <v>3.2538499751615158E-2</v>
      </c>
      <c r="J74" s="21">
        <f>Tabela58[[#This Row],[%_females_hh_total]]*(1-Tabela58[[#This Row],[%_females_hh_total]])/Tabela58[[#This Row],[n_hh_total]]</f>
        <v>2.4794944824095035E-4</v>
      </c>
      <c r="L74" s="8" t="s">
        <v>167</v>
      </c>
      <c r="M74" s="9" t="s">
        <v>21</v>
      </c>
      <c r="N74" s="32" t="s">
        <v>6</v>
      </c>
      <c r="O74" s="33">
        <f>VLOOKUP(Tabela715[[#This Row],[ID]],Tabela58[],9,0)</f>
        <v>-2.2371364653238635E-3</v>
      </c>
      <c r="P74" s="34">
        <f>VLOOKUP(Tabela715[[#This Row],[ID]],Tabela58[],10,0)</f>
        <v>2.7963645997811581E-4</v>
      </c>
      <c r="Q74" s="34">
        <f>Tabela715[[#This Row],[Variance]]</f>
        <v>2.7963645997811581E-4</v>
      </c>
      <c r="R74" s="35">
        <f>1/Tabela715[[#This Row],[Variance within]]</f>
        <v>3576.0715898000549</v>
      </c>
      <c r="S74" s="36">
        <f>Tabela715[[#This Row],[ESi ]]*Tabela715[[#This Row],[wi]]</f>
        <v>-8.0001601561503843</v>
      </c>
      <c r="T74" s="36">
        <f>Tabela715[[#This Row],[ESi ]]^2*Tabela715[[#This Row],[wi]]</f>
        <v>1.7897450013755079E-2</v>
      </c>
      <c r="U74" s="37">
        <f>Tabela715[[#This Row],[wi]]^2</f>
        <v>12788288.015375093</v>
      </c>
      <c r="V74" s="34">
        <f>Tabela715[[#This Row],[Variance]]</f>
        <v>2.7963645997811581E-4</v>
      </c>
      <c r="W74" s="34">
        <f t="shared" si="1"/>
        <v>2.7734826316427039E-4</v>
      </c>
      <c r="X74" s="34">
        <f>Tabela715[[#This Row],[Variance within2]]+Tabela715[[#This Row],[Variance between]]</f>
        <v>5.569847231423862E-4</v>
      </c>
      <c r="Y74" s="35">
        <f>1/Tabela715[[#This Row],[Variance total]]</f>
        <v>1795.3813784303065</v>
      </c>
      <c r="Z74" s="38">
        <f>Tabela715[[#This Row],[ESi ]]*Tabela715[[#This Row],[wi'']]</f>
        <v>-4.0165131508498613</v>
      </c>
    </row>
    <row r="75" spans="1:26" x14ac:dyDescent="0.2">
      <c r="A75" s="8" t="s">
        <v>180</v>
      </c>
      <c r="B75" s="9" t="s">
        <v>14</v>
      </c>
      <c r="C75" s="9" t="s">
        <v>38</v>
      </c>
      <c r="D75" s="10" t="s">
        <v>27</v>
      </c>
      <c r="E75" s="11" t="s">
        <v>48</v>
      </c>
      <c r="F75" s="22">
        <v>0.52503606113614421</v>
      </c>
      <c r="G75" s="12">
        <v>944</v>
      </c>
      <c r="H75" s="24">
        <f>ABS(Tabela58[[#This Row],[ESi(hh_total)]])/SQRT(0.25/Tabela58[[#This Row],[n_hh_total]])</f>
        <v>1.5384450763141808</v>
      </c>
      <c r="I75" s="22">
        <f>Tabela58[[#This Row],[%_females_hh_total]]-0.5</f>
        <v>2.5036061136144205E-2</v>
      </c>
      <c r="J75" s="21">
        <f>Tabela58[[#This Row],[%_females_hh_total]]*(1-Tabela58[[#This Row],[%_females_hh_total]])/Tabela58[[#This Row],[n_hh_total]]</f>
        <v>2.6416652080803735E-4</v>
      </c>
      <c r="L75" s="8" t="s">
        <v>147</v>
      </c>
      <c r="M75" s="9" t="s">
        <v>22</v>
      </c>
      <c r="N75" s="32" t="s">
        <v>6</v>
      </c>
      <c r="O75" s="33">
        <f>VLOOKUP(Tabela715[[#This Row],[ID]],Tabela58[],9,0)</f>
        <v>2.6315789473684403E-2</v>
      </c>
      <c r="P75" s="34">
        <f>VLOOKUP(Tabela715[[#This Row],[ID]],Tabela58[],10,0)</f>
        <v>7.2896923749817748E-4</v>
      </c>
      <c r="Q75" s="34">
        <f>Tabela715[[#This Row],[Variance]]</f>
        <v>7.2896923749817748E-4</v>
      </c>
      <c r="R75" s="35">
        <f>1/Tabela715[[#This Row],[Variance within]]</f>
        <v>1371.8000000000002</v>
      </c>
      <c r="S75" s="36">
        <f>Tabela715[[#This Row],[ESi ]]*Tabela715[[#This Row],[wi]]</f>
        <v>36.100000000000271</v>
      </c>
      <c r="T75" s="36">
        <f>Tabela715[[#This Row],[ESi ]]^2*Tabela715[[#This Row],[wi]]</f>
        <v>0.95000000000001406</v>
      </c>
      <c r="U75" s="37">
        <f>Tabela715[[#This Row],[wi]]^2</f>
        <v>1881835.2400000005</v>
      </c>
      <c r="V75" s="34">
        <f>Tabela715[[#This Row],[Variance]]</f>
        <v>7.2896923749817748E-4</v>
      </c>
      <c r="W75" s="34">
        <f t="shared" si="1"/>
        <v>2.7734826316427039E-4</v>
      </c>
      <c r="X75" s="34">
        <f>Tabela715[[#This Row],[Variance within2]]+Tabela715[[#This Row],[Variance between]]</f>
        <v>1.0063175006624478E-3</v>
      </c>
      <c r="Y75" s="35">
        <f>1/Tabela715[[#This Row],[Variance total]]</f>
        <v>993.72215959844777</v>
      </c>
      <c r="Z75" s="38">
        <f>Tabela715[[#This Row],[ESi ]]*Tabela715[[#This Row],[wi'']]</f>
        <v>26.150583147327765</v>
      </c>
    </row>
    <row r="76" spans="1:26" x14ac:dyDescent="0.2">
      <c r="A76" s="8" t="s">
        <v>181</v>
      </c>
      <c r="B76" s="9" t="s">
        <v>14</v>
      </c>
      <c r="C76" s="9" t="s">
        <v>38</v>
      </c>
      <c r="D76" s="10" t="s">
        <v>47</v>
      </c>
      <c r="E76" s="11" t="s">
        <v>48</v>
      </c>
      <c r="F76" s="22">
        <v>0.51993834805412631</v>
      </c>
      <c r="G76" s="12">
        <v>926</v>
      </c>
      <c r="H76" s="24">
        <f>ABS(Tabela58[[#This Row],[ESi(hh_total)]])/SQRT(0.25/Tabela58[[#This Row],[n_hh_total]])</f>
        <v>1.2134577563575069</v>
      </c>
      <c r="I76" s="22">
        <f>Tabela58[[#This Row],[%_females_hh_total]]-0.5</f>
        <v>1.9938348054126309E-2</v>
      </c>
      <c r="J76" s="21">
        <f>Tabela58[[#This Row],[%_females_hh_total]]*(1-Tabela58[[#This Row],[%_females_hh_total]])/Tabela58[[#This Row],[n_hh_total]]</f>
        <v>2.6954909533139583E-4</v>
      </c>
      <c r="L76" s="8" t="s">
        <v>148</v>
      </c>
      <c r="M76" s="9" t="s">
        <v>22</v>
      </c>
      <c r="N76" s="32" t="s">
        <v>6</v>
      </c>
      <c r="O76" s="33">
        <f>VLOOKUP(Tabela715[[#This Row],[ID]],Tabela58[],9,0)</f>
        <v>4.2735042735045914E-3</v>
      </c>
      <c r="P76" s="34">
        <f>VLOOKUP(Tabela715[[#This Row],[ID]],Tabela58[],10,0)</f>
        <v>7.1219868137100957E-4</v>
      </c>
      <c r="Q76" s="34">
        <f>Tabela715[[#This Row],[Variance]]</f>
        <v>7.1219868137100957E-4</v>
      </c>
      <c r="R76" s="35">
        <f>1/Tabela715[[#This Row],[Variance within]]</f>
        <v>1404.1025715955579</v>
      </c>
      <c r="S76" s="36">
        <f>Tabela715[[#This Row],[ESi ]]*Tabela715[[#This Row],[wi]]</f>
        <v>6.0004383401524031</v>
      </c>
      <c r="T76" s="36">
        <f>Tabela715[[#This Row],[ESi ]]^2*Tabela715[[#This Row],[wi]]</f>
        <v>2.5642898889542094E-2</v>
      </c>
      <c r="U76" s="37">
        <f>Tabela715[[#This Row],[wi]]^2</f>
        <v>1971504.0315612589</v>
      </c>
      <c r="V76" s="34">
        <f>Tabela715[[#This Row],[Variance]]</f>
        <v>7.1219868137100957E-4</v>
      </c>
      <c r="W76" s="34">
        <f t="shared" si="1"/>
        <v>2.7734826316427039E-4</v>
      </c>
      <c r="X76" s="34">
        <f>Tabela715[[#This Row],[Variance within2]]+Tabela715[[#This Row],[Variance between]]</f>
        <v>9.8954694453527985E-4</v>
      </c>
      <c r="Y76" s="35">
        <f>1/Tabela715[[#This Row],[Variance total]]</f>
        <v>1010.5634760659376</v>
      </c>
      <c r="Z76" s="38">
        <f>Tabela715[[#This Row],[ESi ]]*Tabela715[[#This Row],[wi'']]</f>
        <v>4.3186473336154396</v>
      </c>
    </row>
    <row r="77" spans="1:26" x14ac:dyDescent="0.2">
      <c r="A77" s="8" t="s">
        <v>105</v>
      </c>
      <c r="B77" s="9" t="s">
        <v>15</v>
      </c>
      <c r="C77" s="9" t="s">
        <v>39</v>
      </c>
      <c r="D77" s="10" t="s">
        <v>4</v>
      </c>
      <c r="E77" s="14" t="s">
        <v>6</v>
      </c>
      <c r="F77" s="22">
        <v>0.51098901098901028</v>
      </c>
      <c r="G77" s="12">
        <v>546</v>
      </c>
      <c r="H77" s="24">
        <f>ABS(Tabela58[[#This Row],[ESi(hh_total)]])/SQRT(0.25/Tabela58[[#This Row],[n_hh_total]])</f>
        <v>0.51355259101306261</v>
      </c>
      <c r="I77" s="22">
        <f>Tabela58[[#This Row],[%_females_hh_total]]-0.5</f>
        <v>1.0989010989010284E-2</v>
      </c>
      <c r="J77" s="21">
        <f>Tabela58[[#This Row],[%_females_hh_total]]*(1-Tabela58[[#This Row],[%_females_hh_total]])/Tabela58[[#This Row],[n_hh_total]]</f>
        <v>4.5765428871333958E-4</v>
      </c>
      <c r="L77" s="8" t="s">
        <v>149</v>
      </c>
      <c r="M77" s="9" t="s">
        <v>22</v>
      </c>
      <c r="N77" s="32" t="s">
        <v>6</v>
      </c>
      <c r="O77" s="33">
        <f>VLOOKUP(Tabela715[[#This Row],[ID]],Tabela58[],9,0)</f>
        <v>2.9870129870130047E-2</v>
      </c>
      <c r="P77" s="34">
        <f>VLOOKUP(Tabela715[[#This Row],[ID]],Tabela58[],10,0)</f>
        <v>6.470331827053028E-4</v>
      </c>
      <c r="Q77" s="34">
        <f>Tabela715[[#This Row],[Variance]]</f>
        <v>6.470331827053028E-4</v>
      </c>
      <c r="R77" s="35">
        <f>1/Tabela715[[#This Row],[Variance within]]</f>
        <v>1545.5157891886035</v>
      </c>
      <c r="S77" s="36">
        <f>Tabela715[[#This Row],[ESi ]]*Tabela715[[#This Row],[wi]]</f>
        <v>46.164757339400118</v>
      </c>
      <c r="T77" s="36">
        <f>Tabela715[[#This Row],[ESi ]]^2*Tabela715[[#This Row],[wi]]</f>
        <v>1.3789472971509207</v>
      </c>
      <c r="U77" s="37">
        <f>Tabela715[[#This Row],[wi]]^2</f>
        <v>2388619.0546312719</v>
      </c>
      <c r="V77" s="34">
        <f>Tabela715[[#This Row],[Variance]]</f>
        <v>6.470331827053028E-4</v>
      </c>
      <c r="W77" s="34">
        <f t="shared" si="1"/>
        <v>2.7734826316427039E-4</v>
      </c>
      <c r="X77" s="34">
        <f>Tabela715[[#This Row],[Variance within2]]+Tabela715[[#This Row],[Variance between]]</f>
        <v>9.2438144586957319E-4</v>
      </c>
      <c r="Y77" s="35">
        <f>1/Tabela715[[#This Row],[Variance total]]</f>
        <v>1081.8044914989523</v>
      </c>
      <c r="Z77" s="38">
        <f>Tabela715[[#This Row],[ESi ]]*Tabela715[[#This Row],[wi'']]</f>
        <v>32.313640655163702</v>
      </c>
    </row>
    <row r="78" spans="1:26" x14ac:dyDescent="0.2">
      <c r="A78" s="8" t="s">
        <v>106</v>
      </c>
      <c r="B78" s="9" t="s">
        <v>15</v>
      </c>
      <c r="C78" s="9" t="s">
        <v>39</v>
      </c>
      <c r="D78" s="10" t="s">
        <v>23</v>
      </c>
      <c r="E78" s="15" t="s">
        <v>6</v>
      </c>
      <c r="F78" s="22">
        <v>0.51789188606185654</v>
      </c>
      <c r="G78" s="12">
        <v>490</v>
      </c>
      <c r="H78" s="24">
        <f>ABS(Tabela58[[#This Row],[ESi(hh_total)]])/SQRT(0.25/Tabela58[[#This Row],[n_hh_total]])</f>
        <v>0.79210756228361723</v>
      </c>
      <c r="I78" s="22">
        <f>Tabela58[[#This Row],[%_females_hh_total]]-0.5</f>
        <v>1.7891886061856543E-2</v>
      </c>
      <c r="J78" s="21">
        <f>Tabela58[[#This Row],[%_females_hh_total]]*(1-Tabela58[[#This Row],[%_females_hh_total]])/Tabela58[[#This Row],[n_hh_total]]</f>
        <v>5.0955077635336636E-4</v>
      </c>
      <c r="L78" s="8" t="s">
        <v>150</v>
      </c>
      <c r="M78" s="9" t="s">
        <v>22</v>
      </c>
      <c r="N78" s="32" t="s">
        <v>6</v>
      </c>
      <c r="O78" s="33">
        <f>VLOOKUP(Tabela715[[#This Row],[ID]],Tabela58[],9,0)</f>
        <v>2.4590163934426479E-2</v>
      </c>
      <c r="P78" s="34">
        <f>VLOOKUP(Tabela715[[#This Row],[ID]],Tabela58[],10,0)</f>
        <v>6.8140798862753561E-4</v>
      </c>
      <c r="Q78" s="34">
        <f>Tabela715[[#This Row],[Variance]]</f>
        <v>6.8140798862753561E-4</v>
      </c>
      <c r="R78" s="35">
        <f>1/Tabela715[[#This Row],[Variance within]]</f>
        <v>1467.5495689655172</v>
      </c>
      <c r="S78" s="36">
        <f>Tabela715[[#This Row],[ESi ]]*Tabela715[[#This Row],[wi]]</f>
        <v>36.087284482758989</v>
      </c>
      <c r="T78" s="36">
        <f>Tabela715[[#This Row],[ESi ]]^2*Tabela715[[#This Row],[wi]]</f>
        <v>0.88739224137932837</v>
      </c>
      <c r="U78" s="37">
        <f>Tabela715[[#This Row],[wi]]^2</f>
        <v>2153701.7373708752</v>
      </c>
      <c r="V78" s="34">
        <f>Tabela715[[#This Row],[Variance]]</f>
        <v>6.8140798862753561E-4</v>
      </c>
      <c r="W78" s="34">
        <f t="shared" si="1"/>
        <v>2.7734826316427039E-4</v>
      </c>
      <c r="X78" s="34">
        <f>Tabela715[[#This Row],[Variance within2]]+Tabela715[[#This Row],[Variance between]]</f>
        <v>9.58756251791806E-4</v>
      </c>
      <c r="Y78" s="35">
        <f>1/Tabela715[[#This Row],[Variance total]]</f>
        <v>1043.0179705541573</v>
      </c>
      <c r="Z78" s="38">
        <f>Tabela715[[#This Row],[ESi ]]*Tabela715[[#This Row],[wi'']]</f>
        <v>25.647982882479536</v>
      </c>
    </row>
    <row r="79" spans="1:26" x14ac:dyDescent="0.2">
      <c r="A79" s="8" t="s">
        <v>107</v>
      </c>
      <c r="B79" s="9" t="s">
        <v>15</v>
      </c>
      <c r="C79" s="9" t="s">
        <v>39</v>
      </c>
      <c r="D79" s="10" t="s">
        <v>24</v>
      </c>
      <c r="E79" s="11" t="s">
        <v>48</v>
      </c>
      <c r="F79" s="22">
        <v>0.51644282059613456</v>
      </c>
      <c r="G79" s="12">
        <v>519</v>
      </c>
      <c r="H79" s="24">
        <f>ABS(Tabela58[[#This Row],[ESi(hh_total)]])/SQRT(0.25/Tabela58[[#This Row],[n_hh_total]])</f>
        <v>0.7491865861380862</v>
      </c>
      <c r="I79" s="22">
        <f>Tabela58[[#This Row],[%_females_hh_total]]-0.5</f>
        <v>1.6442820596134555E-2</v>
      </c>
      <c r="J79" s="21">
        <f>Tabela58[[#This Row],[%_females_hh_total]]*(1-Tabela58[[#This Row],[%_females_hh_total]])/Tabela58[[#This Row],[n_hh_total]]</f>
        <v>4.8117463131183686E-4</v>
      </c>
      <c r="L79" s="8" t="s">
        <v>151</v>
      </c>
      <c r="M79" s="9" t="s">
        <v>22</v>
      </c>
      <c r="N79" s="32" t="s">
        <v>6</v>
      </c>
      <c r="O79" s="33">
        <f>VLOOKUP(Tabela715[[#This Row],[ID]],Tabela58[],9,0)</f>
        <v>2.6054590570720682E-2</v>
      </c>
      <c r="P79" s="34">
        <f>VLOOKUP(Tabela715[[#This Row],[ID]],Tabela58[],10,0)</f>
        <v>6.1866292384663056E-4</v>
      </c>
      <c r="Q79" s="34">
        <f>Tabela715[[#This Row],[Variance]]</f>
        <v>6.1866292384663056E-4</v>
      </c>
      <c r="R79" s="35">
        <f>1/Tabela715[[#This Row],[Variance within]]</f>
        <v>1616.3890892028057</v>
      </c>
      <c r="S79" s="36">
        <f>Tabela715[[#This Row],[ESi ]]*Tabela715[[#This Row],[wi]]</f>
        <v>42.114355922159213</v>
      </c>
      <c r="T79" s="36">
        <f>Tabela715[[#This Row],[ESi ]]^2*Tabela715[[#This Row],[wi]]</f>
        <v>1.0972723007014642</v>
      </c>
      <c r="U79" s="37">
        <f>Tabela715[[#This Row],[wi]]^2</f>
        <v>2612713.6876938757</v>
      </c>
      <c r="V79" s="34">
        <f>Tabela715[[#This Row],[Variance]]</f>
        <v>6.1866292384663056E-4</v>
      </c>
      <c r="W79" s="34">
        <f t="shared" si="1"/>
        <v>2.7734826316427039E-4</v>
      </c>
      <c r="X79" s="34">
        <f>Tabela715[[#This Row],[Variance within2]]+Tabela715[[#This Row],[Variance between]]</f>
        <v>8.9601118701090096E-4</v>
      </c>
      <c r="Y79" s="35">
        <f>1/Tabela715[[#This Row],[Variance total]]</f>
        <v>1116.0574940319734</v>
      </c>
      <c r="Z79" s="38">
        <f>Tabela715[[#This Row],[ESi ]]*Tabela715[[#This Row],[wi'']]</f>
        <v>29.078421060387608</v>
      </c>
    </row>
    <row r="80" spans="1:26" x14ac:dyDescent="0.2">
      <c r="A80" s="8" t="s">
        <v>108</v>
      </c>
      <c r="B80" s="9" t="s">
        <v>15</v>
      </c>
      <c r="C80" s="9" t="s">
        <v>39</v>
      </c>
      <c r="D80" s="10" t="s">
        <v>25</v>
      </c>
      <c r="E80" s="15" t="s">
        <v>6</v>
      </c>
      <c r="F80" s="22">
        <v>0.48167147329460058</v>
      </c>
      <c r="G80" s="12">
        <v>492</v>
      </c>
      <c r="H80" s="24">
        <f>ABS(Tabela58[[#This Row],[ESi(hh_total)]])/SQRT(0.25/Tabela58[[#This Row],[n_hh_total]])</f>
        <v>0.81309277813972858</v>
      </c>
      <c r="I80" s="22">
        <f>Tabela58[[#This Row],[%_females_hh_total]]-0.5</f>
        <v>-1.8328526705399417E-2</v>
      </c>
      <c r="J80" s="21">
        <f>Tabela58[[#This Row],[%_females_hh_total]]*(1-Tabela58[[#This Row],[%_females_hh_total]])/Tabela58[[#This Row],[n_hh_total]]</f>
        <v>5.0744728680652326E-4</v>
      </c>
      <c r="L80" s="8" t="s">
        <v>152</v>
      </c>
      <c r="M80" s="9" t="s">
        <v>22</v>
      </c>
      <c r="N80" s="32" t="s">
        <v>6</v>
      </c>
      <c r="O80" s="33">
        <f>VLOOKUP(Tabela715[[#This Row],[ID]],Tabela58[],9,0)</f>
        <v>-2.4173027989821905E-2</v>
      </c>
      <c r="P80" s="34">
        <f>VLOOKUP(Tabela715[[#This Row],[ID]],Tabela58[],10,0)</f>
        <v>6.3464545729720941E-4</v>
      </c>
      <c r="Q80" s="34">
        <f>Tabela715[[#This Row],[Variance]]</f>
        <v>6.3464545729720941E-4</v>
      </c>
      <c r="R80" s="35">
        <f>1/Tabela715[[#This Row],[Variance within]]</f>
        <v>1575.6829084678884</v>
      </c>
      <c r="S80" s="36">
        <f>Tabela715[[#This Row],[ESi ]]*Tabela715[[#This Row],[wi]]</f>
        <v>-38.089027049478254</v>
      </c>
      <c r="T80" s="36">
        <f>Tabela715[[#This Row],[ESi ]]^2*Tabela715[[#This Row],[wi]]</f>
        <v>0.9207271169721214</v>
      </c>
      <c r="U80" s="37">
        <f>Tabela715[[#This Row],[wi]]^2</f>
        <v>2482776.6280378238</v>
      </c>
      <c r="V80" s="34">
        <f>Tabela715[[#This Row],[Variance]]</f>
        <v>6.3464545729720941E-4</v>
      </c>
      <c r="W80" s="34">
        <f t="shared" si="1"/>
        <v>2.7734826316427039E-4</v>
      </c>
      <c r="X80" s="34">
        <f>Tabela715[[#This Row],[Variance within2]]+Tabela715[[#This Row],[Variance between]]</f>
        <v>9.119937204614798E-4</v>
      </c>
      <c r="Y80" s="35">
        <f>1/Tabela715[[#This Row],[Variance total]]</f>
        <v>1096.4987779674491</v>
      </c>
      <c r="Z80" s="38">
        <f>Tabela715[[#This Row],[ESi ]]*Tabela715[[#This Row],[wi'']]</f>
        <v>-26.505695650612662</v>
      </c>
    </row>
    <row r="81" spans="1:26" x14ac:dyDescent="0.2">
      <c r="A81" s="8" t="s">
        <v>109</v>
      </c>
      <c r="B81" s="9" t="s">
        <v>15</v>
      </c>
      <c r="C81" s="9" t="s">
        <v>39</v>
      </c>
      <c r="D81" s="10" t="s">
        <v>26</v>
      </c>
      <c r="E81" s="15" t="s">
        <v>6</v>
      </c>
      <c r="F81" s="22">
        <v>0.51486398301616165</v>
      </c>
      <c r="G81" s="12">
        <v>542</v>
      </c>
      <c r="H81" s="24">
        <f>ABS(Tabela58[[#This Row],[ESi(hh_total)]])/SQRT(0.25/Tabela58[[#This Row],[n_hh_total]])</f>
        <v>0.69209360979211532</v>
      </c>
      <c r="I81" s="22">
        <f>Tabela58[[#This Row],[%_females_hh_total]]-0.5</f>
        <v>1.4863983016161653E-2</v>
      </c>
      <c r="J81" s="21">
        <f>Tabela58[[#This Row],[%_females_hh_total]]*(1-Tabela58[[#This Row],[%_females_hh_total]])/Tabela58[[#This Row],[n_hh_total]]</f>
        <v>4.6084697787619056E-4</v>
      </c>
      <c r="L81" s="8" t="s">
        <v>153</v>
      </c>
      <c r="M81" s="9" t="s">
        <v>22</v>
      </c>
      <c r="N81" s="41" t="s">
        <v>6</v>
      </c>
      <c r="O81" s="42">
        <f>VLOOKUP(Tabela715[[#This Row],[ID]],Tabela58[],9,0)</f>
        <v>2.0383693045563644E-2</v>
      </c>
      <c r="P81" s="43">
        <f>VLOOKUP(Tabela715[[#This Row],[ID]],Tabela58[],10,0)</f>
        <v>5.9852399294442265E-4</v>
      </c>
      <c r="Q81" s="43">
        <f>Tabela715[[#This Row],[Variance]]</f>
        <v>5.9852399294442265E-4</v>
      </c>
      <c r="R81" s="44">
        <f>1/Tabela715[[#This Row],[Variance within]]</f>
        <v>1670.776797235023</v>
      </c>
      <c r="S81" s="45">
        <f>Tabela715[[#This Row],[ESi ]]*Tabela715[[#This Row],[wi]]</f>
        <v>34.056601382488637</v>
      </c>
      <c r="T81" s="45">
        <f>Tabela715[[#This Row],[ESi ]]^2*Tabela715[[#This Row],[wi]]</f>
        <v>0.69419930875576685</v>
      </c>
      <c r="U81" s="46">
        <f>Tabela715[[#This Row],[wi]]^2</f>
        <v>2791495.1061789212</v>
      </c>
      <c r="V81" s="43">
        <f>Tabela715[[#This Row],[Variance]]</f>
        <v>5.9852399294442265E-4</v>
      </c>
      <c r="W81" s="43">
        <f t="shared" si="1"/>
        <v>2.7734826316427039E-4</v>
      </c>
      <c r="X81" s="43">
        <f>Tabela715[[#This Row],[Variance within2]]+Tabela715[[#This Row],[Variance between]]</f>
        <v>8.7587225610869304E-4</v>
      </c>
      <c r="Y81" s="44">
        <f>1/Tabela715[[#This Row],[Variance total]]</f>
        <v>1141.7190041419728</v>
      </c>
      <c r="Z81" s="47">
        <f>Tabela715[[#This Row],[ESi ]]*Tabela715[[#This Row],[wi'']]</f>
        <v>23.27244972471658</v>
      </c>
    </row>
    <row r="82" spans="1:26" x14ac:dyDescent="0.2">
      <c r="A82" s="8" t="s">
        <v>110</v>
      </c>
      <c r="B82" s="9" t="s">
        <v>15</v>
      </c>
      <c r="C82" s="9" t="s">
        <v>39</v>
      </c>
      <c r="D82" s="10" t="s">
        <v>27</v>
      </c>
      <c r="E82" s="15" t="s">
        <v>6</v>
      </c>
      <c r="F82" s="22">
        <v>0.53770248742564208</v>
      </c>
      <c r="G82" s="12">
        <v>662</v>
      </c>
      <c r="H82" s="24">
        <f>ABS(Tabela58[[#This Row],[ESi(hh_total)]])/SQRT(0.25/Tabela58[[#This Row],[n_hh_total]])</f>
        <v>1.9401217935474289</v>
      </c>
      <c r="I82" s="22">
        <f>Tabela58[[#This Row],[%_females_hh_total]]-0.5</f>
        <v>3.7702487425642084E-2</v>
      </c>
      <c r="J82" s="21">
        <f>Tabela58[[#This Row],[%_females_hh_total]]*(1-Tabela58[[#This Row],[%_females_hh_total]])/Tabela58[[#This Row],[n_hh_total]]</f>
        <v>3.7549625746513489E-4</v>
      </c>
      <c r="L82" s="39" t="s">
        <v>204</v>
      </c>
      <c r="M82" s="40"/>
      <c r="N82" s="41"/>
      <c r="O82" s="41"/>
      <c r="P82" s="41"/>
      <c r="Q82" s="41"/>
      <c r="R82" s="44">
        <f>SUBTOTAL(109,Tabela715[wi])</f>
        <v>240265.76723899983</v>
      </c>
      <c r="S82" s="45">
        <f>SUBTOTAL(109,Tabela715[ESi*wi])</f>
        <v>-2233.6760612830631</v>
      </c>
      <c r="T82" s="45">
        <f>SUBTOTAL(109,Tabela715[ESi^2*wi])</f>
        <v>163.44180974996823</v>
      </c>
      <c r="U82" s="46">
        <f>SUBTOTAL(109,Tabela715[wi^2])</f>
        <v>832748654.79820573</v>
      </c>
      <c r="V82" s="41"/>
      <c r="W82" s="41"/>
      <c r="X82" s="41"/>
      <c r="Y82" s="44">
        <f>SUBTOTAL(109,Tabela715[wi''])</f>
        <v>125335.4364954523</v>
      </c>
      <c r="Z82" s="47">
        <f>SUBTOTAL(109,Tabela715[ESi*wi''])</f>
        <v>-1011.3897334916182</v>
      </c>
    </row>
    <row r="83" spans="1:26" x14ac:dyDescent="0.2">
      <c r="A83" s="8" t="s">
        <v>111</v>
      </c>
      <c r="B83" s="9" t="s">
        <v>15</v>
      </c>
      <c r="C83" s="9" t="s">
        <v>39</v>
      </c>
      <c r="D83" s="10" t="s">
        <v>47</v>
      </c>
      <c r="E83" s="15" t="s">
        <v>6</v>
      </c>
      <c r="F83" s="22">
        <v>0.54396423248882275</v>
      </c>
      <c r="G83" s="12">
        <v>671</v>
      </c>
      <c r="H83" s="24">
        <f>ABS(Tabela58[[#This Row],[ESi(hh_total)]])/SQRT(0.25/Tabela58[[#This Row],[n_hh_total]])</f>
        <v>2.2776697376224448</v>
      </c>
      <c r="I83" s="22">
        <f>Tabela58[[#This Row],[%_females_hh_total]]-0.5</f>
        <v>4.3964232488822752E-2</v>
      </c>
      <c r="J83" s="21">
        <f>Tabela58[[#This Row],[%_females_hh_total]]*(1-Tabela58[[#This Row],[%_females_hh_total]])/Tabela58[[#This Row],[n_hh_total]]</f>
        <v>3.6969768444361956E-4</v>
      </c>
    </row>
    <row r="84" spans="1:26" ht="17" thickBot="1" x14ac:dyDescent="0.25">
      <c r="A84" s="8" t="s">
        <v>112</v>
      </c>
      <c r="B84" s="9" t="s">
        <v>16</v>
      </c>
      <c r="C84" s="9" t="s">
        <v>40</v>
      </c>
      <c r="D84" s="10" t="s">
        <v>4</v>
      </c>
      <c r="E84" s="11" t="s">
        <v>48</v>
      </c>
      <c r="F84" s="22">
        <v>0.52512562814070329</v>
      </c>
      <c r="G84" s="12">
        <v>663</v>
      </c>
      <c r="H84" s="24">
        <f>ABS(Tabela58[[#This Row],[ESi(hh_total)]])/SQRT(0.25/Tabela58[[#This Row],[n_hh_total]])</f>
        <v>1.2939088632747355</v>
      </c>
      <c r="I84" s="22">
        <f>Tabela58[[#This Row],[%_females_hh_total]]-0.5</f>
        <v>2.5125628140703293E-2</v>
      </c>
      <c r="J84" s="21">
        <f>Tabela58[[#This Row],[%_females_hh_total]]*(1-Tabela58[[#This Row],[%_females_hh_total]])/Tabela58[[#This Row],[n_hh_total]]</f>
        <v>3.7612172369613138E-4</v>
      </c>
    </row>
    <row r="85" spans="1:26" ht="17" thickBot="1" x14ac:dyDescent="0.25">
      <c r="A85" s="8" t="s">
        <v>113</v>
      </c>
      <c r="B85" s="9" t="s">
        <v>16</v>
      </c>
      <c r="C85" s="9" t="s">
        <v>40</v>
      </c>
      <c r="D85" s="10" t="s">
        <v>23</v>
      </c>
      <c r="E85" s="11" t="s">
        <v>48</v>
      </c>
      <c r="F85" s="22">
        <v>0.56439091639759009</v>
      </c>
      <c r="G85" s="12">
        <v>753</v>
      </c>
      <c r="H85" s="24">
        <f>ABS(Tabela58[[#This Row],[ESi(hh_total)]])/SQRT(0.25/Tabela58[[#This Row],[n_hh_total]])</f>
        <v>3.5338823728215076</v>
      </c>
      <c r="I85" s="22">
        <f>Tabela58[[#This Row],[%_females_hh_total]]-0.5</f>
        <v>6.4390916397590092E-2</v>
      </c>
      <c r="J85" s="21">
        <f>Tabela58[[#This Row],[%_females_hh_total]]*(1-Tabela58[[#This Row],[%_females_hh_total]])/Tabela58[[#This Row],[n_hh_total]]</f>
        <v>3.2649908351325171E-4</v>
      </c>
      <c r="Q85" s="71" t="s">
        <v>205</v>
      </c>
      <c r="R85" s="72"/>
      <c r="S85" s="73"/>
      <c r="T85" s="71" t="s">
        <v>206</v>
      </c>
      <c r="U85" s="73"/>
      <c r="X85" s="71" t="s">
        <v>207</v>
      </c>
      <c r="Y85" s="72"/>
      <c r="Z85" s="73"/>
    </row>
    <row r="86" spans="1:26" x14ac:dyDescent="0.2">
      <c r="A86" s="8" t="s">
        <v>114</v>
      </c>
      <c r="B86" s="9" t="s">
        <v>16</v>
      </c>
      <c r="C86" s="9" t="s">
        <v>40</v>
      </c>
      <c r="D86" s="10" t="s">
        <v>24</v>
      </c>
      <c r="E86" s="11" t="s">
        <v>48</v>
      </c>
      <c r="F86" s="22">
        <v>0.53047819322019651</v>
      </c>
      <c r="G86" s="12">
        <v>618</v>
      </c>
      <c r="H86" s="24">
        <f>ABS(Tabela58[[#This Row],[ESi(hh_total)]])/SQRT(0.25/Tabela58[[#This Row],[n_hh_total]])</f>
        <v>1.5153517372491405</v>
      </c>
      <c r="I86" s="22">
        <f>Tabela58[[#This Row],[%_females_hh_total]]-0.5</f>
        <v>3.0478193220196514E-2</v>
      </c>
      <c r="J86" s="21">
        <f>Tabela58[[#This Row],[%_females_hh_total]]*(1-Tabela58[[#This Row],[%_females_hh_total]])/Tabela58[[#This Row],[n_hh_total]]</f>
        <v>4.0302763711655724E-4</v>
      </c>
      <c r="Q86" s="48" t="s">
        <v>208</v>
      </c>
      <c r="R86" s="49"/>
      <c r="S86" s="55">
        <f>S82/R82</f>
        <v>-9.2966887748979904E-3</v>
      </c>
      <c r="T86" s="48" t="s">
        <v>209</v>
      </c>
      <c r="U86" s="50">
        <f>T82-S82^2/R82</f>
        <v>142.67601858427963</v>
      </c>
      <c r="X86" s="48" t="s">
        <v>208</v>
      </c>
      <c r="Y86" s="49"/>
      <c r="Z86" s="55">
        <f>Z82/Y82</f>
        <v>-8.0694635274064386E-3</v>
      </c>
    </row>
    <row r="87" spans="1:26" x14ac:dyDescent="0.2">
      <c r="A87" s="8" t="s">
        <v>115</v>
      </c>
      <c r="B87" s="9" t="s">
        <v>16</v>
      </c>
      <c r="C87" s="9" t="s">
        <v>40</v>
      </c>
      <c r="D87" s="10" t="s">
        <v>25</v>
      </c>
      <c r="E87" s="11" t="s">
        <v>48</v>
      </c>
      <c r="F87" s="22">
        <v>0.52218972718947732</v>
      </c>
      <c r="G87" s="12">
        <v>683</v>
      </c>
      <c r="H87" s="24">
        <f>ABS(Tabela58[[#This Row],[ESi(hh_total)]])/SQRT(0.25/Tabela58[[#This Row],[n_hh_total]])</f>
        <v>1.1598245850882138</v>
      </c>
      <c r="I87" s="22">
        <f>Tabela58[[#This Row],[%_females_hh_total]]-0.5</f>
        <v>2.2189727189477315E-2</v>
      </c>
      <c r="J87" s="21">
        <f>Tabela58[[#This Row],[%_females_hh_total]]*(1-Tabela58[[#This Row],[%_females_hh_total]])/Tabela58[[#This Row],[n_hh_total]]</f>
        <v>3.6531129722877973E-4</v>
      </c>
      <c r="Q87" s="48" t="s">
        <v>193</v>
      </c>
      <c r="R87" s="49"/>
      <c r="S87" s="51">
        <f>1/R82</f>
        <v>4.1620577558403021E-6</v>
      </c>
      <c r="T87" s="48" t="s">
        <v>210</v>
      </c>
      <c r="U87" s="50">
        <f>ROWS(Tabela715[ID])</f>
        <v>77</v>
      </c>
      <c r="X87" s="48" t="s">
        <v>193</v>
      </c>
      <c r="Y87" s="49"/>
      <c r="Z87" s="52">
        <f>1/Y82</f>
        <v>7.9785895191443657E-6</v>
      </c>
    </row>
    <row r="88" spans="1:26" x14ac:dyDescent="0.2">
      <c r="A88" s="8" t="s">
        <v>116</v>
      </c>
      <c r="B88" s="9" t="s">
        <v>16</v>
      </c>
      <c r="C88" s="9" t="s">
        <v>40</v>
      </c>
      <c r="D88" s="10" t="s">
        <v>26</v>
      </c>
      <c r="E88" s="11" t="s">
        <v>48</v>
      </c>
      <c r="F88" s="22">
        <v>0.55900978698906623</v>
      </c>
      <c r="G88" s="12">
        <v>859</v>
      </c>
      <c r="H88" s="24">
        <f>ABS(Tabela58[[#This Row],[ESi(hh_total)]])/SQRT(0.25/Tabela58[[#This Row],[n_hh_total]])</f>
        <v>3.4590004978693938</v>
      </c>
      <c r="I88" s="22">
        <f>Tabela58[[#This Row],[%_females_hh_total]]-0.5</f>
        <v>5.9009786989066226E-2</v>
      </c>
      <c r="J88" s="21">
        <f>Tabela58[[#This Row],[%_females_hh_total]]*(1-Tabela58[[#This Row],[%_females_hh_total]])/Tabela58[[#This Row],[n_hh_total]]</f>
        <v>2.8698235743830619E-4</v>
      </c>
      <c r="Q88" s="48" t="s">
        <v>211</v>
      </c>
      <c r="R88" s="49"/>
      <c r="S88" s="55">
        <f>SQRT(S87)</f>
        <v>2.0401121919738389E-3</v>
      </c>
      <c r="T88" s="48" t="s">
        <v>212</v>
      </c>
      <c r="U88" s="50">
        <f>MAX(U86-U87,0)</f>
        <v>65.676018584279632</v>
      </c>
      <c r="X88" s="48" t="s">
        <v>211</v>
      </c>
      <c r="Y88" s="49"/>
      <c r="Z88" s="55">
        <f>SQRT(Z87)</f>
        <v>2.8246397149272622E-3</v>
      </c>
    </row>
    <row r="89" spans="1:26" x14ac:dyDescent="0.2">
      <c r="A89" s="8" t="s">
        <v>117</v>
      </c>
      <c r="B89" s="9" t="s">
        <v>16</v>
      </c>
      <c r="C89" s="9" t="s">
        <v>40</v>
      </c>
      <c r="D89" s="10" t="s">
        <v>27</v>
      </c>
      <c r="E89" s="11" t="s">
        <v>48</v>
      </c>
      <c r="F89" s="22">
        <v>0.51215880893300259</v>
      </c>
      <c r="G89" s="12">
        <v>1006</v>
      </c>
      <c r="H89" s="24">
        <f>ABS(Tabela58[[#This Row],[ESi(hh_total)]])/SQRT(0.25/Tabela58[[#This Row],[n_hh_total]])</f>
        <v>0.77129411893849953</v>
      </c>
      <c r="I89" s="22">
        <f>Tabela58[[#This Row],[%_females_hh_total]]-0.5</f>
        <v>1.2158808933002585E-2</v>
      </c>
      <c r="J89" s="21">
        <f>Tabela58[[#This Row],[%_females_hh_total]]*(1-Tabela58[[#This Row],[%_females_hh_total]])/Tabela58[[#This Row],[n_hh_total]]</f>
        <v>2.4836199141682977E-4</v>
      </c>
      <c r="Q89" s="48" t="s">
        <v>213</v>
      </c>
      <c r="R89" s="49"/>
      <c r="S89" s="53">
        <f>S86-1.96*S88</f>
        <v>-1.3295308671166715E-2</v>
      </c>
      <c r="T89" s="48" t="s">
        <v>214</v>
      </c>
      <c r="U89" s="50">
        <f>R82-U82/R82</f>
        <v>236799.81924163137</v>
      </c>
      <c r="X89" s="48" t="s">
        <v>213</v>
      </c>
      <c r="Y89" s="49"/>
      <c r="Z89" s="55">
        <f>Z86-1.96*Z88</f>
        <v>-1.3605757368663873E-2</v>
      </c>
    </row>
    <row r="90" spans="1:26" x14ac:dyDescent="0.2">
      <c r="A90" s="8" t="s">
        <v>118</v>
      </c>
      <c r="B90" s="9" t="s">
        <v>16</v>
      </c>
      <c r="C90" s="13" t="s">
        <v>40</v>
      </c>
      <c r="D90" s="10" t="s">
        <v>47</v>
      </c>
      <c r="E90" s="11" t="s">
        <v>48</v>
      </c>
      <c r="F90" s="22">
        <v>0.52189562087582442</v>
      </c>
      <c r="G90" s="12">
        <v>832</v>
      </c>
      <c r="H90" s="24">
        <f>ABS(Tabela58[[#This Row],[ESi(hh_total)]])/SQRT(0.25/Tabela58[[#This Row],[n_hh_total]])</f>
        <v>1.2631325404144749</v>
      </c>
      <c r="I90" s="22">
        <f>Tabela58[[#This Row],[%_females_hh_total]]-0.5</f>
        <v>2.1895620875824418E-2</v>
      </c>
      <c r="J90" s="21">
        <f>Tabela58[[#This Row],[%_females_hh_total]]*(1-Tabela58[[#This Row],[%_females_hh_total]])/Tabela58[[#This Row],[n_hh_total]]</f>
        <v>2.9990454541642088E-4</v>
      </c>
      <c r="Q90" s="48" t="s">
        <v>215</v>
      </c>
      <c r="R90" s="49"/>
      <c r="S90" s="53">
        <f>S86+1.96*S88</f>
        <v>-5.2980688786292661E-3</v>
      </c>
      <c r="T90" s="48" t="s">
        <v>216</v>
      </c>
      <c r="U90" s="54">
        <f>U88/U89</f>
        <v>2.7734826316427039E-4</v>
      </c>
      <c r="X90" s="48" t="s">
        <v>215</v>
      </c>
      <c r="Y90" s="49"/>
      <c r="Z90" s="55">
        <f>Z86+1.96*Z88</f>
        <v>-2.5331696861490048E-3</v>
      </c>
    </row>
    <row r="91" spans="1:26" x14ac:dyDescent="0.2">
      <c r="A91" s="8" t="s">
        <v>119</v>
      </c>
      <c r="B91" s="9" t="s">
        <v>17</v>
      </c>
      <c r="C91" s="9" t="s">
        <v>41</v>
      </c>
      <c r="D91" s="10" t="s">
        <v>4</v>
      </c>
      <c r="E91" s="11" t="s">
        <v>48</v>
      </c>
      <c r="F91" s="22">
        <v>0.52791068580542155</v>
      </c>
      <c r="G91" s="12">
        <v>1254</v>
      </c>
      <c r="H91" s="24">
        <f>ABS(Tabela58[[#This Row],[ESi(hh_total)]])/SQRT(0.25/Tabela58[[#This Row],[n_hh_total]])</f>
        <v>1.9767387315370901</v>
      </c>
      <c r="I91" s="22">
        <f>Tabela58[[#This Row],[%_females_hh_total]]-0.5</f>
        <v>2.7910685805421553E-2</v>
      </c>
      <c r="J91" s="21">
        <f>Tabela58[[#This Row],[%_females_hh_total]]*(1-Tabela58[[#This Row],[%_females_hh_total]])/Tabela58[[#This Row],[n_hh_total]]</f>
        <v>1.9874082425667546E-4</v>
      </c>
      <c r="Q91" s="48" t="s">
        <v>217</v>
      </c>
      <c r="R91" s="49"/>
      <c r="S91" s="69">
        <f>S86/S88</f>
        <v>-4.5569497655436813</v>
      </c>
      <c r="T91" s="48"/>
      <c r="U91" s="50"/>
      <c r="X91" s="48" t="s">
        <v>217</v>
      </c>
      <c r="Y91" s="49"/>
      <c r="Z91" s="69">
        <f>Z86/Z88</f>
        <v>-2.8568116084901245</v>
      </c>
    </row>
    <row r="92" spans="1:26" ht="17" thickBot="1" x14ac:dyDescent="0.25">
      <c r="A92" s="8" t="s">
        <v>120</v>
      </c>
      <c r="B92" s="9" t="s">
        <v>17</v>
      </c>
      <c r="C92" s="9" t="s">
        <v>41</v>
      </c>
      <c r="D92" s="10" t="s">
        <v>23</v>
      </c>
      <c r="E92" s="11" t="s">
        <v>48</v>
      </c>
      <c r="F92" s="22">
        <v>0.55104281009879252</v>
      </c>
      <c r="G92" s="12">
        <v>911</v>
      </c>
      <c r="H92" s="24">
        <f>ABS(Tabela58[[#This Row],[ESi(hh_total)]])/SQRT(0.25/Tabela58[[#This Row],[n_hh_total]])</f>
        <v>3.0812274629399576</v>
      </c>
      <c r="I92" s="22">
        <f>Tabela58[[#This Row],[%_females_hh_total]]-0.5</f>
        <v>5.1042810098792524E-2</v>
      </c>
      <c r="J92" s="21">
        <f>Tabela58[[#This Row],[%_females_hh_total]]*(1-Tabela58[[#This Row],[%_females_hh_total]])/Tabela58[[#This Row],[n_hh_total]]</f>
        <v>2.7156381068849464E-4</v>
      </c>
      <c r="Q92" s="56" t="s">
        <v>218</v>
      </c>
      <c r="R92" s="57"/>
      <c r="S92" s="70">
        <f>(1-(NORMDIST(ABS(S91),0,1,TRUE)))*2</f>
        <v>5.1901830870892951E-6</v>
      </c>
      <c r="T92" s="56"/>
      <c r="U92" s="58"/>
      <c r="X92" s="56" t="s">
        <v>218</v>
      </c>
      <c r="Y92" s="57"/>
      <c r="Z92" s="70">
        <f>(1-(NORMDIST(ABS(Z91),0,1,TRUE)))*2</f>
        <v>4.2791973946672002E-3</v>
      </c>
    </row>
    <row r="93" spans="1:26" x14ac:dyDescent="0.2">
      <c r="A93" s="8" t="s">
        <v>121</v>
      </c>
      <c r="B93" s="9" t="s">
        <v>17</v>
      </c>
      <c r="C93" s="9" t="s">
        <v>41</v>
      </c>
      <c r="D93" s="10" t="s">
        <v>24</v>
      </c>
      <c r="E93" s="11" t="s">
        <v>48</v>
      </c>
      <c r="F93" s="22">
        <v>0.49199335109664616</v>
      </c>
      <c r="G93" s="12">
        <v>909</v>
      </c>
      <c r="H93" s="24">
        <f>ABS(Tabela58[[#This Row],[ESi(hh_total)]])/SQRT(0.25/Tabela58[[#This Row],[n_hh_total]])</f>
        <v>0.48279495372414055</v>
      </c>
      <c r="I93" s="22">
        <f>Tabela58[[#This Row],[%_females_hh_total]]-0.5</f>
        <v>-8.0066489033538413E-3</v>
      </c>
      <c r="J93" s="21">
        <f>Tabela58[[#This Row],[%_females_hh_total]]*(1-Tabela58[[#This Row],[%_females_hh_total]])/Tabela58[[#This Row],[n_hh_total]]</f>
        <v>2.7495697862853517E-4</v>
      </c>
    </row>
    <row r="94" spans="1:26" x14ac:dyDescent="0.2">
      <c r="A94" s="8" t="s">
        <v>122</v>
      </c>
      <c r="B94" s="9" t="s">
        <v>17</v>
      </c>
      <c r="C94" s="9" t="s">
        <v>41</v>
      </c>
      <c r="D94" s="10" t="s">
        <v>25</v>
      </c>
      <c r="E94" s="11" t="s">
        <v>48</v>
      </c>
      <c r="F94" s="22">
        <v>0.49616945158646147</v>
      </c>
      <c r="G94" s="12">
        <v>843</v>
      </c>
      <c r="H94" s="24">
        <f>ABS(Tabela58[[#This Row],[ESi(hh_total)]])/SQRT(0.25/Tabela58[[#This Row],[n_hh_total]])</f>
        <v>0.22243582686387461</v>
      </c>
      <c r="I94" s="22">
        <f>Tabela58[[#This Row],[%_females_hh_total]]-0.5</f>
        <v>-3.8305484135385259E-3</v>
      </c>
      <c r="J94" s="21">
        <f>Tabela58[[#This Row],[%_females_hh_total]]*(1-Tabela58[[#This Row],[%_females_hh_total]])/Tabela58[[#This Row],[n_hh_total]]</f>
        <v>2.965424992868939E-4</v>
      </c>
    </row>
    <row r="95" spans="1:26" x14ac:dyDescent="0.2">
      <c r="A95" s="8" t="s">
        <v>123</v>
      </c>
      <c r="B95" s="9" t="s">
        <v>17</v>
      </c>
      <c r="C95" s="9" t="s">
        <v>41</v>
      </c>
      <c r="D95" s="10" t="s">
        <v>26</v>
      </c>
      <c r="E95" s="11" t="s">
        <v>48</v>
      </c>
      <c r="F95" s="22">
        <v>0.48868028713418049</v>
      </c>
      <c r="G95" s="12">
        <v>906</v>
      </c>
      <c r="H95" s="24">
        <f>ABS(Tabela58[[#This Row],[ESi(hh_total)]])/SQRT(0.25/Tabela58[[#This Row],[n_hh_total]])</f>
        <v>0.68144295381000852</v>
      </c>
      <c r="I95" s="22">
        <f>Tabela58[[#This Row],[%_females_hh_total]]-0.5</f>
        <v>-1.1319712865819509E-2</v>
      </c>
      <c r="J95" s="21">
        <f>Tabela58[[#This Row],[%_females_hh_total]]*(1-Tabela58[[#This Row],[%_females_hh_total]])/Tabela58[[#This Row],[n_hh_total]]</f>
        <v>2.7579675949297505E-4</v>
      </c>
    </row>
    <row r="96" spans="1:26" x14ac:dyDescent="0.2">
      <c r="A96" s="8" t="s">
        <v>124</v>
      </c>
      <c r="B96" s="9" t="s">
        <v>17</v>
      </c>
      <c r="C96" s="9" t="s">
        <v>41</v>
      </c>
      <c r="D96" s="10" t="s">
        <v>27</v>
      </c>
      <c r="E96" s="11" t="s">
        <v>48</v>
      </c>
      <c r="F96" s="22">
        <v>0.49764705882353033</v>
      </c>
      <c r="G96" s="12">
        <v>850</v>
      </c>
      <c r="H96" s="24">
        <f>ABS(Tabela58[[#This Row],[ESi(hh_total)]])/SQRT(0.25/Tabela58[[#This Row],[n_hh_total]])</f>
        <v>0.13719886811395351</v>
      </c>
      <c r="I96" s="22">
        <f>Tabela58[[#This Row],[%_females_hh_total]]-0.5</f>
        <v>-2.3529411764696695E-3</v>
      </c>
      <c r="J96" s="21">
        <f>Tabela58[[#This Row],[%_females_hh_total]]*(1-Tabela58[[#This Row],[%_females_hh_total]])/Tabela58[[#This Row],[n_hh_total]]</f>
        <v>2.9411113372684714E-4</v>
      </c>
    </row>
    <row r="97" spans="1:26" x14ac:dyDescent="0.2">
      <c r="A97" s="8" t="s">
        <v>125</v>
      </c>
      <c r="B97" s="9" t="s">
        <v>17</v>
      </c>
      <c r="C97" s="9" t="s">
        <v>41</v>
      </c>
      <c r="D97" s="10" t="s">
        <v>47</v>
      </c>
      <c r="E97" s="11" t="s">
        <v>48</v>
      </c>
      <c r="F97" s="22">
        <v>0.52763157894736856</v>
      </c>
      <c r="G97" s="12">
        <v>913</v>
      </c>
      <c r="H97" s="24">
        <f>ABS(Tabela58[[#This Row],[ESi(hh_total)]])/SQRT(0.25/Tabela58[[#This Row],[n_hh_total]])</f>
        <v>1.6698254922342226</v>
      </c>
      <c r="I97" s="22">
        <f>Tabela58[[#This Row],[%_females_hh_total]]-0.5</f>
        <v>2.7631578947368562E-2</v>
      </c>
      <c r="J97" s="21">
        <f>Tabela58[[#This Row],[%_females_hh_total]]*(1-Tabela58[[#This Row],[%_females_hh_total]])/Tabela58[[#This Row],[n_hh_total]]</f>
        <v>2.7298630432078349E-4</v>
      </c>
    </row>
    <row r="98" spans="1:26" x14ac:dyDescent="0.2">
      <c r="A98" s="8" t="s">
        <v>126</v>
      </c>
      <c r="B98" s="9" t="s">
        <v>18</v>
      </c>
      <c r="C98" s="9" t="s">
        <v>42</v>
      </c>
      <c r="D98" s="10" t="s">
        <v>4</v>
      </c>
      <c r="E98" s="14" t="s">
        <v>6</v>
      </c>
      <c r="F98" s="22">
        <v>0.44518460699909651</v>
      </c>
      <c r="G98" s="12">
        <v>1063</v>
      </c>
      <c r="H98" s="24">
        <f>ABS(Tabela58[[#This Row],[ESi(hh_total)]])/SQRT(0.25/Tabela58[[#This Row],[n_hh_total]])</f>
        <v>3.5743671497839387</v>
      </c>
      <c r="I98" s="22">
        <f>Tabela58[[#This Row],[%_females_hh_total]]-0.5</f>
        <v>-5.481539300090349E-2</v>
      </c>
      <c r="J98" s="21">
        <f>Tabela58[[#This Row],[%_females_hh_total]]*(1-Tabela58[[#This Row],[%_females_hh_total]])/Tabela58[[#This Row],[n_hh_total]]</f>
        <v>2.3235679462855737E-4</v>
      </c>
    </row>
    <row r="99" spans="1:26" x14ac:dyDescent="0.2">
      <c r="A99" s="8" t="s">
        <v>127</v>
      </c>
      <c r="B99" s="9" t="s">
        <v>18</v>
      </c>
      <c r="C99" s="9" t="s">
        <v>42</v>
      </c>
      <c r="D99" s="10" t="s">
        <v>23</v>
      </c>
      <c r="E99" s="15" t="s">
        <v>6</v>
      </c>
      <c r="F99" s="22">
        <v>0.47350993377483436</v>
      </c>
      <c r="G99" s="12">
        <v>906</v>
      </c>
      <c r="H99" s="24">
        <f>ABS(Tabela58[[#This Row],[ESi(hh_total)]])/SQRT(0.25/Tabela58[[#This Row],[n_hh_total]])</f>
        <v>1.5946931860442339</v>
      </c>
      <c r="I99" s="22">
        <f>Tabela58[[#This Row],[%_females_hh_total]]-0.5</f>
        <v>-2.6490066225165643E-2</v>
      </c>
      <c r="J99" s="21">
        <f>Tabela58[[#This Row],[%_females_hh_total]]*(1-Tabela58[[#This Row],[%_females_hh_total]])/Tabela58[[#This Row],[n_hh_total]]</f>
        <v>2.7516366047614386E-4</v>
      </c>
    </row>
    <row r="100" spans="1:26" x14ac:dyDescent="0.2">
      <c r="A100" s="8" t="s">
        <v>128</v>
      </c>
      <c r="B100" s="9" t="s">
        <v>18</v>
      </c>
      <c r="C100" s="9" t="s">
        <v>42</v>
      </c>
      <c r="D100" s="10" t="s">
        <v>24</v>
      </c>
      <c r="E100" s="15" t="s">
        <v>6</v>
      </c>
      <c r="F100" s="22">
        <v>0.4563445867287545</v>
      </c>
      <c r="G100" s="12">
        <v>859</v>
      </c>
      <c r="H100" s="24">
        <f>ABS(Tabela58[[#This Row],[ESi(hh_total)]])/SQRT(0.25/Tabela58[[#This Row],[n_hh_total]])</f>
        <v>2.5589669772560186</v>
      </c>
      <c r="I100" s="22">
        <f>Tabela58[[#This Row],[%_females_hh_total]]-0.5</f>
        <v>-4.3655413271245502E-2</v>
      </c>
      <c r="J100" s="21">
        <f>Tabela58[[#This Row],[%_females_hh_total]]*(1-Tabela58[[#This Row],[%_females_hh_total]])/Tabela58[[#This Row],[n_hh_total]]</f>
        <v>2.8881746786043857E-4</v>
      </c>
    </row>
    <row r="101" spans="1:26" x14ac:dyDescent="0.2">
      <c r="A101" s="8" t="s">
        <v>129</v>
      </c>
      <c r="B101" s="9" t="s">
        <v>18</v>
      </c>
      <c r="C101" s="9" t="s">
        <v>42</v>
      </c>
      <c r="D101" s="10" t="s">
        <v>25</v>
      </c>
      <c r="E101" s="15" t="s">
        <v>6</v>
      </c>
      <c r="F101" s="22">
        <v>0.46923076923076962</v>
      </c>
      <c r="G101" s="12">
        <v>780</v>
      </c>
      <c r="H101" s="24">
        <f>ABS(Tabela58[[#This Row],[ESi(hh_total)]])/SQRT(0.25/Tabela58[[#This Row],[n_hh_total]])</f>
        <v>1.7186756976946174</v>
      </c>
      <c r="I101" s="22">
        <f>Tabela58[[#This Row],[%_females_hh_total]]-0.5</f>
        <v>-3.0769230769230382E-2</v>
      </c>
      <c r="J101" s="21">
        <f>Tabela58[[#This Row],[%_females_hh_total]]*(1-Tabela58[[#This Row],[%_females_hh_total]])/Tabela58[[#This Row],[n_hh_total]]</f>
        <v>3.1929904415111521E-4</v>
      </c>
    </row>
    <row r="102" spans="1:26" ht="17" thickBot="1" x14ac:dyDescent="0.25">
      <c r="A102" s="8" t="s">
        <v>130</v>
      </c>
      <c r="B102" s="9" t="s">
        <v>18</v>
      </c>
      <c r="C102" s="9" t="s">
        <v>42</v>
      </c>
      <c r="D102" s="10" t="s">
        <v>26</v>
      </c>
      <c r="E102" s="15" t="s">
        <v>6</v>
      </c>
      <c r="F102" s="22">
        <v>0.46679912813374047</v>
      </c>
      <c r="G102" s="12">
        <v>778</v>
      </c>
      <c r="H102" s="24">
        <f>ABS(Tabela58[[#This Row],[ESi(hh_total)]])/SQRT(0.25/Tabela58[[#This Row],[n_hh_total]])</f>
        <v>1.8521206877575462</v>
      </c>
      <c r="I102" s="22">
        <f>Tabela58[[#This Row],[%_females_hh_total]]-0.5</f>
        <v>-3.3200871866259529E-2</v>
      </c>
      <c r="J102" s="21">
        <f>Tabela58[[#This Row],[%_females_hh_total]]*(1-Tabela58[[#This Row],[%_females_hh_total]])/Tabela58[[#This Row],[n_hh_total]]</f>
        <v>3.1991992558781516E-4</v>
      </c>
    </row>
    <row r="103" spans="1:26" ht="17" thickBot="1" x14ac:dyDescent="0.25">
      <c r="A103" s="8" t="s">
        <v>131</v>
      </c>
      <c r="B103" s="9" t="s">
        <v>18</v>
      </c>
      <c r="C103" s="9" t="s">
        <v>42</v>
      </c>
      <c r="D103" s="10" t="s">
        <v>27</v>
      </c>
      <c r="E103" s="15" t="s">
        <v>6</v>
      </c>
      <c r="F103" s="22">
        <v>0.45524296675191833</v>
      </c>
      <c r="G103" s="12">
        <v>782</v>
      </c>
      <c r="H103" s="24">
        <f>ABS(Tabela58[[#This Row],[ESi(hh_total)]])/SQRT(0.25/Tabela58[[#This Row],[n_hh_total]])</f>
        <v>2.5031948894825207</v>
      </c>
      <c r="I103" s="22">
        <f>Tabela58[[#This Row],[%_females_hh_total]]-0.5</f>
        <v>-4.4757033248081668E-2</v>
      </c>
      <c r="J103" s="21">
        <f>Tabela58[[#This Row],[%_females_hh_total]]*(1-Tabela58[[#This Row],[%_females_hh_total]])/Tabela58[[#This Row],[n_hh_total]]</f>
        <v>3.17131467998504E-4</v>
      </c>
      <c r="O103" s="74" t="s">
        <v>187</v>
      </c>
      <c r="P103" s="75"/>
      <c r="Q103" s="75"/>
      <c r="R103" s="75"/>
      <c r="S103" s="75"/>
      <c r="T103" s="75"/>
      <c r="U103" s="75"/>
      <c r="V103" s="75"/>
      <c r="W103" s="75"/>
      <c r="X103" s="75"/>
      <c r="Y103" s="75"/>
      <c r="Z103" s="76"/>
    </row>
    <row r="104" spans="1:26" x14ac:dyDescent="0.2">
      <c r="A104" s="8" t="s">
        <v>132</v>
      </c>
      <c r="B104" s="9" t="s">
        <v>18</v>
      </c>
      <c r="C104" s="9" t="s">
        <v>42</v>
      </c>
      <c r="D104" s="10" t="s">
        <v>47</v>
      </c>
      <c r="E104" s="15" t="s">
        <v>6</v>
      </c>
      <c r="F104" s="22">
        <v>0.46277078725196752</v>
      </c>
      <c r="G104" s="12">
        <v>685</v>
      </c>
      <c r="H104" s="24">
        <f>ABS(Tabela58[[#This Row],[ESi(hh_total)]])/SQRT(0.25/Tabela58[[#This Row],[n_hh_total]])</f>
        <v>1.9487634880192217</v>
      </c>
      <c r="I104" s="22">
        <f>Tabela58[[#This Row],[%_females_hh_total]]-0.5</f>
        <v>-3.7229212748032481E-2</v>
      </c>
      <c r="J104" s="21">
        <f>Tabela58[[#This Row],[%_females_hh_total]]*(1-Tabela58[[#This Row],[%_females_hh_total]])/Tabela58[[#This Row],[n_hh_total]]</f>
        <v>3.6294012513600254E-4</v>
      </c>
      <c r="O104" s="82" t="s">
        <v>188</v>
      </c>
      <c r="P104" s="81"/>
      <c r="Q104" s="79" t="s">
        <v>189</v>
      </c>
      <c r="R104" s="80"/>
      <c r="S104" s="81"/>
      <c r="T104" s="79" t="s">
        <v>190</v>
      </c>
      <c r="U104" s="81"/>
      <c r="V104" s="79" t="s">
        <v>191</v>
      </c>
      <c r="W104" s="80"/>
      <c r="X104" s="80"/>
      <c r="Y104" s="80"/>
      <c r="Z104" s="81"/>
    </row>
    <row r="105" spans="1:26" ht="17" x14ac:dyDescent="0.2">
      <c r="A105" s="8" t="s">
        <v>133</v>
      </c>
      <c r="B105" s="9" t="s">
        <v>19</v>
      </c>
      <c r="C105" s="9" t="s">
        <v>43</v>
      </c>
      <c r="D105" s="10" t="s">
        <v>4</v>
      </c>
      <c r="E105" s="14" t="s">
        <v>6</v>
      </c>
      <c r="F105" s="22">
        <v>0.48881802550522041</v>
      </c>
      <c r="G105" s="12">
        <v>541</v>
      </c>
      <c r="H105" s="24">
        <f>ABS(Tabela58[[#This Row],[ESi(hh_total)]])/SQRT(0.25/Tabela58[[#This Row],[n_hh_total]])</f>
        <v>0.52017218494890161</v>
      </c>
      <c r="I105" s="22">
        <f>Tabela58[[#This Row],[%_females_hh_total]]-0.5</f>
        <v>-1.118197449477959E-2</v>
      </c>
      <c r="J105" s="21">
        <f>Tabela58[[#This Row],[%_females_hh_total]]*(1-Tabela58[[#This Row],[%_females_hh_total]])/Tabela58[[#This Row],[n_hh_total]]</f>
        <v>4.6187608770129041E-4</v>
      </c>
      <c r="L105" s="26" t="s">
        <v>51</v>
      </c>
      <c r="M105" s="27" t="s">
        <v>0</v>
      </c>
      <c r="N105" s="28" t="s">
        <v>1</v>
      </c>
      <c r="O105" s="29" t="s">
        <v>192</v>
      </c>
      <c r="P105" s="30" t="s">
        <v>193</v>
      </c>
      <c r="Q105" s="30" t="s">
        <v>194</v>
      </c>
      <c r="R105" s="30" t="s">
        <v>195</v>
      </c>
      <c r="S105" s="30" t="s">
        <v>196</v>
      </c>
      <c r="T105" s="30" t="s">
        <v>197</v>
      </c>
      <c r="U105" s="30" t="s">
        <v>198</v>
      </c>
      <c r="V105" s="30" t="s">
        <v>199</v>
      </c>
      <c r="W105" s="30" t="s">
        <v>200</v>
      </c>
      <c r="X105" s="30" t="s">
        <v>201</v>
      </c>
      <c r="Y105" s="30" t="s">
        <v>202</v>
      </c>
      <c r="Z105" s="31" t="s">
        <v>203</v>
      </c>
    </row>
    <row r="106" spans="1:26" x14ac:dyDescent="0.2">
      <c r="A106" s="8" t="s">
        <v>134</v>
      </c>
      <c r="B106" s="9" t="s">
        <v>19</v>
      </c>
      <c r="C106" s="9" t="s">
        <v>43</v>
      </c>
      <c r="D106" s="10" t="s">
        <v>23</v>
      </c>
      <c r="E106" s="15" t="s">
        <v>6</v>
      </c>
      <c r="F106" s="22">
        <v>0.48861488706283396</v>
      </c>
      <c r="G106" s="12">
        <v>467</v>
      </c>
      <c r="H106" s="24">
        <f>ABS(Tabela58[[#This Row],[ESi(hh_total)]])/SQRT(0.25/Tabela58[[#This Row],[n_hh_total]])</f>
        <v>0.49206874319946775</v>
      </c>
      <c r="I106" s="22">
        <f>Tabela58[[#This Row],[%_females_hh_total]]-0.5</f>
        <v>-1.1385112937166042E-2</v>
      </c>
      <c r="J106" s="21">
        <f>Tabela58[[#This Row],[%_females_hh_total]]*(1-Tabela58[[#This Row],[%_females_hh_total]])/Tabela58[[#This Row],[n_hh_total]]</f>
        <v>5.3505434518931038E-4</v>
      </c>
      <c r="L106" s="8" t="s">
        <v>52</v>
      </c>
      <c r="M106" s="9" t="s">
        <v>3</v>
      </c>
      <c r="N106" s="2" t="s">
        <v>48</v>
      </c>
      <c r="O106" s="1">
        <f>VLOOKUP(Tabela816[[#This Row],[ID]],Tabela58[],9,0)</f>
        <v>5.9136375042022626E-3</v>
      </c>
      <c r="P106" s="59">
        <f>VLOOKUP(Tabela816[[#This Row],[ID]],Tabela58[],10,0)</f>
        <v>2.9099537705642482E-4</v>
      </c>
      <c r="Q106" s="59">
        <f>Tabela816[[#This Row],[Variance]]</f>
        <v>2.9099537705642482E-4</v>
      </c>
      <c r="R106" s="60">
        <f>1/Tabela816[[#This Row],[Variance within]]</f>
        <v>3436.4807101595197</v>
      </c>
      <c r="S106" s="61">
        <f>Tabela816[[#This Row],[ESi ]]*Tabela816[[#This Row],[wi]]</f>
        <v>20.322101210066961</v>
      </c>
      <c r="T106" s="1">
        <f>Tabela816[[#This Row],[ESi ]]^2*Tabela816[[#This Row],[wi]]</f>
        <v>0.12017753988004616</v>
      </c>
      <c r="U106" s="60">
        <f>Tabela816[[#This Row],[wi]]^2</f>
        <v>11809399.671298478</v>
      </c>
      <c r="V106" s="59">
        <f>Tabela816[[#This Row],[Variance]]</f>
        <v>2.9099537705642482E-4</v>
      </c>
      <c r="W106" s="59">
        <f t="shared" ref="W106:W137" si="2">$U$167</f>
        <v>3.3034188455158129E-4</v>
      </c>
      <c r="X106" s="59">
        <f>Tabela816[[#This Row],[Variance within2]]+Tabela816[[#This Row],[Variance between]]</f>
        <v>6.2133726160800611E-4</v>
      </c>
      <c r="Y106" s="60">
        <f>1/Tabela816[[#This Row],[Variance total]]</f>
        <v>1609.4318847255736</v>
      </c>
      <c r="Z106" s="62">
        <f>Tabela816[[#This Row],[ESi ]]*Tabela816[[#This Row],[wi'']]</f>
        <v>9.517596753972084</v>
      </c>
    </row>
    <row r="107" spans="1:26" x14ac:dyDescent="0.2">
      <c r="A107" s="8" t="s">
        <v>135</v>
      </c>
      <c r="B107" s="9" t="s">
        <v>19</v>
      </c>
      <c r="C107" s="9" t="s">
        <v>43</v>
      </c>
      <c r="D107" s="10" t="s">
        <v>24</v>
      </c>
      <c r="E107" s="15" t="s">
        <v>6</v>
      </c>
      <c r="F107" s="22">
        <v>0.48641333500361644</v>
      </c>
      <c r="G107" s="12">
        <v>457</v>
      </c>
      <c r="H107" s="24">
        <f>ABS(Tabela58[[#This Row],[ESi(hh_total)]])/SQRT(0.25/Tabela58[[#This Row],[n_hh_total]])</f>
        <v>0.58089944684376171</v>
      </c>
      <c r="I107" s="22">
        <f>Tabela58[[#This Row],[%_females_hh_total]]-0.5</f>
        <v>-1.3586664996383557E-2</v>
      </c>
      <c r="J107" s="21">
        <f>Tabela58[[#This Row],[%_females_hh_total]]*(1-Tabela58[[#This Row],[%_females_hh_total]])/Tabela58[[#This Row],[n_hh_total]]</f>
        <v>5.4664201867456468E-4</v>
      </c>
      <c r="L107" s="8" t="s">
        <v>53</v>
      </c>
      <c r="M107" s="9" t="s">
        <v>3</v>
      </c>
      <c r="N107" s="2" t="s">
        <v>48</v>
      </c>
      <c r="O107" s="1">
        <f>VLOOKUP(Tabela816[[#This Row],[ID]],Tabela58[],9,0)</f>
        <v>5.3846153846153433E-2</v>
      </c>
      <c r="P107" s="59">
        <f>VLOOKUP(Tabela816[[#This Row],[ID]],Tabela58[],10,0)</f>
        <v>3.4559523316919774E-4</v>
      </c>
      <c r="Q107" s="59">
        <f>Tabela816[[#This Row],[Variance]]</f>
        <v>3.4559523316919774E-4</v>
      </c>
      <c r="R107" s="60">
        <f>1/Tabela816[[#This Row],[Variance within]]</f>
        <v>2893.5584291187733</v>
      </c>
      <c r="S107" s="61">
        <f>Tabela816[[#This Row],[ESi ]]*Tabela816[[#This Row],[wi]]</f>
        <v>155.80699233716354</v>
      </c>
      <c r="T107" s="1">
        <f>Tabela816[[#This Row],[ESi ]]^2*Tabela816[[#This Row],[wi]]</f>
        <v>8.3896072796933563</v>
      </c>
      <c r="U107" s="60">
        <f>Tabela816[[#This Row],[wi]]^2</f>
        <v>8372680.3827243028</v>
      </c>
      <c r="V107" s="59">
        <f>Tabela816[[#This Row],[Variance]]</f>
        <v>3.4559523316919774E-4</v>
      </c>
      <c r="W107" s="59">
        <f t="shared" si="2"/>
        <v>3.3034188455158129E-4</v>
      </c>
      <c r="X107" s="59">
        <f>Tabela816[[#This Row],[Variance within2]]+Tabela816[[#This Row],[Variance between]]</f>
        <v>6.7593711772077902E-4</v>
      </c>
      <c r="Y107" s="60">
        <f>1/Tabela816[[#This Row],[Variance total]]</f>
        <v>1479.4275588414826</v>
      </c>
      <c r="Z107" s="62">
        <f>Tabela816[[#This Row],[ESi ]]*Tabela816[[#This Row],[wi'']]</f>
        <v>79.661483937617675</v>
      </c>
    </row>
    <row r="108" spans="1:26" x14ac:dyDescent="0.2">
      <c r="A108" s="8" t="s">
        <v>136</v>
      </c>
      <c r="B108" s="9" t="s">
        <v>19</v>
      </c>
      <c r="C108" s="9" t="s">
        <v>43</v>
      </c>
      <c r="D108" s="10" t="s">
        <v>25</v>
      </c>
      <c r="E108" s="15" t="s">
        <v>6</v>
      </c>
      <c r="F108" s="22">
        <v>0.5104441704213708</v>
      </c>
      <c r="G108" s="12">
        <v>478</v>
      </c>
      <c r="H108" s="24">
        <f>ABS(Tabela58[[#This Row],[ESi(hh_total)]])/SQRT(0.25/Tabela58[[#This Row],[n_hh_total]])</f>
        <v>0.45668620556318262</v>
      </c>
      <c r="I108" s="22">
        <f>Tabela58[[#This Row],[%_females_hh_total]]-0.5</f>
        <v>1.0444170421370802E-2</v>
      </c>
      <c r="J108" s="21">
        <f>Tabela58[[#This Row],[%_females_hh_total]]*(1-Tabela58[[#This Row],[%_females_hh_total]])/Tabela58[[#This Row],[n_hh_total]]</f>
        <v>5.2278435000880621E-4</v>
      </c>
      <c r="L108" s="8" t="s">
        <v>54</v>
      </c>
      <c r="M108" s="9" t="s">
        <v>3</v>
      </c>
      <c r="N108" s="2" t="s">
        <v>48</v>
      </c>
      <c r="O108" s="1">
        <f>VLOOKUP(Tabela816[[#This Row],[ID]],Tabela58[],9,0)</f>
        <v>4.3806646525678672E-2</v>
      </c>
      <c r="P108" s="59">
        <f>VLOOKUP(Tabela816[[#This Row],[ID]],Tabela58[],10,0)</f>
        <v>3.0514265402235456E-4</v>
      </c>
      <c r="Q108" s="59">
        <f>Tabela816[[#This Row],[Variance]]</f>
        <v>3.0514265402235456E-4</v>
      </c>
      <c r="R108" s="60">
        <f>1/Tabela816[[#This Row],[Variance within]]</f>
        <v>3277.1557395143473</v>
      </c>
      <c r="S108" s="61">
        <f>Tabela816[[#This Row],[ESi ]]*Tabela816[[#This Row],[wi]]</f>
        <v>143.56120309050411</v>
      </c>
      <c r="T108" s="1">
        <f>Tabela816[[#This Row],[ESi ]]^2*Tabela816[[#This Row],[wi]]</f>
        <v>6.2889348785868817</v>
      </c>
      <c r="U108" s="60">
        <f>Tabela816[[#This Row],[wi]]^2</f>
        <v>10739749.741031827</v>
      </c>
      <c r="V108" s="59">
        <f>Tabela816[[#This Row],[Variance]]</f>
        <v>3.0514265402235456E-4</v>
      </c>
      <c r="W108" s="59">
        <f t="shared" si="2"/>
        <v>3.3034188455158129E-4</v>
      </c>
      <c r="X108" s="59">
        <f>Tabela816[[#This Row],[Variance within2]]+Tabela816[[#This Row],[Variance between]]</f>
        <v>6.3548453857393584E-4</v>
      </c>
      <c r="Y108" s="60">
        <f>1/Tabela816[[#This Row],[Variance total]]</f>
        <v>1573.60240776913</v>
      </c>
      <c r="Z108" s="62">
        <f>Tabela816[[#This Row],[ESi ]]*Tabela816[[#This Row],[wi'']]</f>
        <v>68.934244449099154</v>
      </c>
    </row>
    <row r="109" spans="1:26" x14ac:dyDescent="0.2">
      <c r="A109" s="8" t="s">
        <v>137</v>
      </c>
      <c r="B109" s="9" t="s">
        <v>19</v>
      </c>
      <c r="C109" s="9" t="s">
        <v>43</v>
      </c>
      <c r="D109" s="10" t="s">
        <v>26</v>
      </c>
      <c r="E109" s="15" t="s">
        <v>6</v>
      </c>
      <c r="F109" s="22">
        <v>0.48366865416259092</v>
      </c>
      <c r="G109" s="12">
        <v>563</v>
      </c>
      <c r="H109" s="24">
        <f>ABS(Tabela58[[#This Row],[ESi(hh_total)]])/SQRT(0.25/Tabela58[[#This Row],[n_hh_total]])</f>
        <v>0.77500797005650512</v>
      </c>
      <c r="I109" s="22">
        <f>Tabela58[[#This Row],[%_females_hh_total]]-0.5</f>
        <v>-1.6331345837409084E-2</v>
      </c>
      <c r="J109" s="21">
        <f>Tabela58[[#This Row],[%_females_hh_total]]*(1-Tabela58[[#This Row],[%_females_hh_total]])/Tabela58[[#This Row],[n_hh_total]]</f>
        <v>4.4357599847804426E-4</v>
      </c>
      <c r="L109" s="8" t="s">
        <v>55</v>
      </c>
      <c r="M109" s="9" t="s">
        <v>3</v>
      </c>
      <c r="N109" s="2" t="s">
        <v>48</v>
      </c>
      <c r="O109" s="1">
        <f>VLOOKUP(Tabela816[[#This Row],[ID]],Tabela58[],9,0)</f>
        <v>1.9280205655528126E-2</v>
      </c>
      <c r="P109" s="59">
        <f>VLOOKUP(Tabela816[[#This Row],[ID]],Tabela58[],10,0)</f>
        <v>3.2085896358596475E-4</v>
      </c>
      <c r="Q109" s="59">
        <f>Tabela816[[#This Row],[Variance]]</f>
        <v>3.2085896358596475E-4</v>
      </c>
      <c r="R109" s="60">
        <f>1/Tabela816[[#This Row],[Variance within]]</f>
        <v>3116.6341398845771</v>
      </c>
      <c r="S109" s="61">
        <f>Tabela816[[#This Row],[ESi ]]*Tabela816[[#This Row],[wi]]</f>
        <v>60.089347170014662</v>
      </c>
      <c r="T109" s="1">
        <f>Tabela816[[#This Row],[ESi ]]^2*Tabela816[[#This Row],[wi]]</f>
        <v>1.1585349711443096</v>
      </c>
      <c r="U109" s="60">
        <f>Tabela816[[#This Row],[wi]]^2</f>
        <v>9713408.3618940767</v>
      </c>
      <c r="V109" s="59">
        <f>Tabela816[[#This Row],[Variance]]</f>
        <v>3.2085896358596475E-4</v>
      </c>
      <c r="W109" s="59">
        <f t="shared" si="2"/>
        <v>3.3034188455158129E-4</v>
      </c>
      <c r="X109" s="59">
        <f>Tabela816[[#This Row],[Variance within2]]+Tabela816[[#This Row],[Variance between]]</f>
        <v>6.5120084813754609E-4</v>
      </c>
      <c r="Y109" s="60">
        <f>1/Tabela816[[#This Row],[Variance total]]</f>
        <v>1535.6245355945557</v>
      </c>
      <c r="Z109" s="62">
        <f>Tabela816[[#This Row],[ESi ]]*Tabela816[[#This Row],[wi'']]</f>
        <v>29.607156855937905</v>
      </c>
    </row>
    <row r="110" spans="1:26" x14ac:dyDescent="0.2">
      <c r="A110" s="8" t="s">
        <v>138</v>
      </c>
      <c r="B110" s="9" t="s">
        <v>19</v>
      </c>
      <c r="C110" s="9" t="s">
        <v>43</v>
      </c>
      <c r="D110" s="10" t="s">
        <v>27</v>
      </c>
      <c r="E110" s="15" t="s">
        <v>6</v>
      </c>
      <c r="F110" s="22">
        <v>0.48010324588096798</v>
      </c>
      <c r="G110" s="12">
        <v>641</v>
      </c>
      <c r="H110" s="24">
        <f>ABS(Tabela58[[#This Row],[ESi(hh_total)]])/SQRT(0.25/Tabela58[[#This Row],[n_hh_total]])</f>
        <v>1.0074911582487114</v>
      </c>
      <c r="I110" s="22">
        <f>Tabela58[[#This Row],[%_females_hh_total]]-0.5</f>
        <v>-1.9896754119032023E-2</v>
      </c>
      <c r="J110" s="21">
        <f>Tabela58[[#This Row],[%_females_hh_total]]*(1-Tabela58[[#This Row],[%_females_hh_total]])/Tabela58[[#This Row],[n_hh_total]]</f>
        <v>3.8939800183389512E-4</v>
      </c>
      <c r="L110" s="8" t="s">
        <v>56</v>
      </c>
      <c r="M110" s="9" t="s">
        <v>3</v>
      </c>
      <c r="N110" s="2" t="s">
        <v>48</v>
      </c>
      <c r="O110" s="1">
        <f>VLOOKUP(Tabela816[[#This Row],[ID]],Tabela58[],9,0)</f>
        <v>-6.2158130283446189E-3</v>
      </c>
      <c r="P110" s="59">
        <f>VLOOKUP(Tabela816[[#This Row],[ID]],Tabela58[],10,0)</f>
        <v>3.1362780886875363E-4</v>
      </c>
      <c r="Q110" s="59">
        <f>Tabela816[[#This Row],[Variance]]</f>
        <v>3.1362780886875363E-4</v>
      </c>
      <c r="R110" s="60">
        <f>1/Tabela816[[#This Row],[Variance within]]</f>
        <v>3188.4927666553895</v>
      </c>
      <c r="S110" s="61">
        <f>Tabela816[[#This Row],[ESi ]]*Tabela816[[#This Row],[wi]]</f>
        <v>-19.81907487975915</v>
      </c>
      <c r="T110" s="1">
        <f>Tabela816[[#This Row],[ESi ]]^2*Tabela816[[#This Row],[wi]]</f>
        <v>0.12319166384734448</v>
      </c>
      <c r="U110" s="60">
        <f>Tabela816[[#This Row],[wi]]^2</f>
        <v>10166486.12301374</v>
      </c>
      <c r="V110" s="59">
        <f>Tabela816[[#This Row],[Variance]]</f>
        <v>3.1362780886875363E-4</v>
      </c>
      <c r="W110" s="59">
        <f t="shared" si="2"/>
        <v>3.3034188455158129E-4</v>
      </c>
      <c r="X110" s="59">
        <f>Tabela816[[#This Row],[Variance within2]]+Tabela816[[#This Row],[Variance between]]</f>
        <v>6.4396969342033492E-4</v>
      </c>
      <c r="Y110" s="60">
        <f>1/Tabela816[[#This Row],[Variance total]]</f>
        <v>1552.8681088836199</v>
      </c>
      <c r="Z110" s="62">
        <f>Tabela816[[#This Row],[ESi ]]*Tabela816[[#This Row],[wi'']]</f>
        <v>-9.6523378224996748</v>
      </c>
    </row>
    <row r="111" spans="1:26" x14ac:dyDescent="0.2">
      <c r="A111" s="8" t="s">
        <v>139</v>
      </c>
      <c r="B111" s="9" t="s">
        <v>19</v>
      </c>
      <c r="C111" s="9" t="s">
        <v>43</v>
      </c>
      <c r="D111" s="10" t="s">
        <v>47</v>
      </c>
      <c r="E111" s="15" t="s">
        <v>6</v>
      </c>
      <c r="F111" s="22">
        <v>0.53301266511157019</v>
      </c>
      <c r="G111" s="12">
        <v>496</v>
      </c>
      <c r="H111" s="24">
        <f>ABS(Tabela58[[#This Row],[ESi(hh_total)]])/SQRT(0.25/Tabela58[[#This Row],[n_hh_total]])</f>
        <v>1.47045392264194</v>
      </c>
      <c r="I111" s="22">
        <f>Tabela58[[#This Row],[%_females_hh_total]]-0.5</f>
        <v>3.3012665111570194E-2</v>
      </c>
      <c r="J111" s="21">
        <f>Tabela58[[#This Row],[%_females_hh_total]]*(1-Tabela58[[#This Row],[%_females_hh_total]])/Tabela58[[#This Row],[n_hh_total]]</f>
        <v>5.0183500794804701E-4</v>
      </c>
      <c r="L111" s="8" t="s">
        <v>168</v>
      </c>
      <c r="M111" s="9" t="s">
        <v>7</v>
      </c>
      <c r="N111" s="2" t="s">
        <v>48</v>
      </c>
      <c r="O111" s="1">
        <f>VLOOKUP(Tabela816[[#This Row],[ID]],Tabela58[],9,0)</f>
        <v>-1.28016100021206E-2</v>
      </c>
      <c r="P111" s="59">
        <f>VLOOKUP(Tabela816[[#This Row],[ID]],Tabela58[],10,0)</f>
        <v>2.6921995558335524E-4</v>
      </c>
      <c r="Q111" s="59">
        <f>Tabela816[[#This Row],[Variance]]</f>
        <v>2.6921995558335524E-4</v>
      </c>
      <c r="R111" s="60">
        <f>1/Tabela816[[#This Row],[Variance within]]</f>
        <v>3714.4349044749115</v>
      </c>
      <c r="S111" s="61">
        <f>Tabela816[[#This Row],[ESi ]]*Tabela816[[#This Row],[wi]]</f>
        <v>-47.550747025351903</v>
      </c>
      <c r="T111" s="1">
        <f>Tabela816[[#This Row],[ESi ]]^2*Tabela816[[#This Row],[wi]]</f>
        <v>0.60872611872805138</v>
      </c>
      <c r="U111" s="60">
        <f>Tabela816[[#This Row],[wi]]^2</f>
        <v>13797026.659581546</v>
      </c>
      <c r="V111" s="59">
        <f>Tabela816[[#This Row],[Variance]]</f>
        <v>2.6921995558335524E-4</v>
      </c>
      <c r="W111" s="59">
        <f t="shared" si="2"/>
        <v>3.3034188455158129E-4</v>
      </c>
      <c r="X111" s="59">
        <f>Tabela816[[#This Row],[Variance within2]]+Tabela816[[#This Row],[Variance between]]</f>
        <v>5.9956184013493653E-4</v>
      </c>
      <c r="Y111" s="60">
        <f>1/Tabela816[[#This Row],[Variance total]]</f>
        <v>1667.8846668676269</v>
      </c>
      <c r="Z111" s="62">
        <f>Tabela816[[#This Row],[ESi ]]*Tabela816[[#This Row],[wi'']]</f>
        <v>-21.351609033756198</v>
      </c>
    </row>
    <row r="112" spans="1:26" x14ac:dyDescent="0.2">
      <c r="A112" s="8" t="s">
        <v>140</v>
      </c>
      <c r="B112" s="9" t="s">
        <v>20</v>
      </c>
      <c r="C112" s="9" t="s">
        <v>44</v>
      </c>
      <c r="D112" s="10" t="s">
        <v>4</v>
      </c>
      <c r="E112" s="11" t="s">
        <v>48</v>
      </c>
      <c r="F112" s="22">
        <v>0.50449239609224328</v>
      </c>
      <c r="G112" s="12">
        <v>583</v>
      </c>
      <c r="H112" s="24">
        <f>ABS(Tabela58[[#This Row],[ESi(hh_total)]])/SQRT(0.25/Tabela58[[#This Row],[n_hh_total]])</f>
        <v>0.21694133773643381</v>
      </c>
      <c r="I112" s="22">
        <f>Tabela58[[#This Row],[%_females_hh_total]]-0.5</f>
        <v>4.4923960922432782E-3</v>
      </c>
      <c r="J112" s="21">
        <f>Tabela58[[#This Row],[%_females_hh_total]]*(1-Tabela58[[#This Row],[%_females_hh_total]])/Tabela58[[#This Row],[n_hh_total]]</f>
        <v>4.2878184970386005E-4</v>
      </c>
      <c r="L112" s="8" t="s">
        <v>169</v>
      </c>
      <c r="M112" s="9" t="s">
        <v>7</v>
      </c>
      <c r="N112" s="2" t="s">
        <v>48</v>
      </c>
      <c r="O112" s="1">
        <f>VLOOKUP(Tabela816[[#This Row],[ID]],Tabela58[],9,0)</f>
        <v>3.1346601783490691E-2</v>
      </c>
      <c r="P112" s="59">
        <f>VLOOKUP(Tabela816[[#This Row],[ID]],Tabela58[],10,0)</f>
        <v>2.5409937811900739E-4</v>
      </c>
      <c r="Q112" s="59">
        <f>Tabela816[[#This Row],[Variance]]</f>
        <v>2.5409937811900739E-4</v>
      </c>
      <c r="R112" s="60">
        <f>1/Tabela816[[#This Row],[Variance within]]</f>
        <v>3935.4681125258412</v>
      </c>
      <c r="S112" s="61">
        <f>Tabela816[[#This Row],[ESi ]]*Tabela816[[#This Row],[wi]]</f>
        <v>123.36355175497327</v>
      </c>
      <c r="T112" s="1">
        <f>Tabela816[[#This Row],[ESi ]]^2*Tabela816[[#This Row],[wi]]</f>
        <v>3.8670281314601911</v>
      </c>
      <c r="U112" s="60">
        <f>Tabela816[[#This Row],[wi]]^2</f>
        <v>15487909.264707707</v>
      </c>
      <c r="V112" s="59">
        <f>Tabela816[[#This Row],[Variance]]</f>
        <v>2.5409937811900739E-4</v>
      </c>
      <c r="W112" s="59">
        <f t="shared" si="2"/>
        <v>3.3034188455158129E-4</v>
      </c>
      <c r="X112" s="59">
        <f>Tabela816[[#This Row],[Variance within2]]+Tabela816[[#This Row],[Variance between]]</f>
        <v>5.8444126267058862E-4</v>
      </c>
      <c r="Y112" s="60">
        <f>1/Tabela816[[#This Row],[Variance total]]</f>
        <v>1711.0359310198717</v>
      </c>
      <c r="Z112" s="62">
        <f>Tabela816[[#This Row],[ESi ]]*Tabela816[[#This Row],[wi'']]</f>
        <v>53.635161966924166</v>
      </c>
    </row>
    <row r="113" spans="1:26" x14ac:dyDescent="0.2">
      <c r="A113" s="8" t="s">
        <v>141</v>
      </c>
      <c r="B113" s="9" t="s">
        <v>20</v>
      </c>
      <c r="C113" s="9" t="s">
        <v>44</v>
      </c>
      <c r="D113" s="10" t="s">
        <v>23</v>
      </c>
      <c r="E113" s="11" t="s">
        <v>48</v>
      </c>
      <c r="F113" s="22">
        <v>0.54960944946302326</v>
      </c>
      <c r="G113" s="12">
        <v>785</v>
      </c>
      <c r="H113" s="24">
        <f>ABS(Tabela58[[#This Row],[ESi(hh_total)]])/SQRT(0.25/Tabela58[[#This Row],[n_hh_total]])</f>
        <v>2.7799003713651635</v>
      </c>
      <c r="I113" s="22">
        <f>Tabela58[[#This Row],[%_females_hh_total]]-0.5</f>
        <v>4.9609449463023259E-2</v>
      </c>
      <c r="J113" s="21">
        <f>Tabela58[[#This Row],[%_females_hh_total]]*(1-Tabela58[[#This Row],[%_females_hh_total]])/Tabela58[[#This Row],[n_hh_total]]</f>
        <v>3.1533618155920473E-4</v>
      </c>
      <c r="L113" s="8" t="s">
        <v>170</v>
      </c>
      <c r="M113" s="9" t="s">
        <v>7</v>
      </c>
      <c r="N113" s="2" t="s">
        <v>48</v>
      </c>
      <c r="O113" s="1">
        <f>VLOOKUP(Tabela816[[#This Row],[ID]],Tabela58[],9,0)</f>
        <v>9.4911284356452574E-3</v>
      </c>
      <c r="P113" s="59">
        <f>VLOOKUP(Tabela816[[#This Row],[ID]],Tabela58[],10,0)</f>
        <v>2.9297763010670351E-4</v>
      </c>
      <c r="Q113" s="59">
        <f>Tabela816[[#This Row],[Variance]]</f>
        <v>2.9297763010670351E-4</v>
      </c>
      <c r="R113" s="60">
        <f>1/Tabela816[[#This Row],[Variance within]]</f>
        <v>3413.2298757273597</v>
      </c>
      <c r="S113" s="61">
        <f>Tabela816[[#This Row],[ESi ]]*Tabela816[[#This Row],[wi]]</f>
        <v>32.39540313090987</v>
      </c>
      <c r="T113" s="1">
        <f>Tabela816[[#This Row],[ESi ]]^2*Tabela816[[#This Row],[wi]]</f>
        <v>0.30746893183997009</v>
      </c>
      <c r="U113" s="60">
        <f>Tabela816[[#This Row],[wi]]^2</f>
        <v>11650138.184557807</v>
      </c>
      <c r="V113" s="59">
        <f>Tabela816[[#This Row],[Variance]]</f>
        <v>2.9297763010670351E-4</v>
      </c>
      <c r="W113" s="59">
        <f t="shared" si="2"/>
        <v>3.3034188455158129E-4</v>
      </c>
      <c r="X113" s="59">
        <f>Tabela816[[#This Row],[Variance within2]]+Tabela816[[#This Row],[Variance between]]</f>
        <v>6.2331951465828474E-4</v>
      </c>
      <c r="Y113" s="60">
        <f>1/Tabela816[[#This Row],[Variance total]]</f>
        <v>1604.3136408912505</v>
      </c>
      <c r="Z113" s="62">
        <f>Tabela816[[#This Row],[ESi ]]*Tabela816[[#This Row],[wi'']]</f>
        <v>15.226746816756522</v>
      </c>
    </row>
    <row r="114" spans="1:26" x14ac:dyDescent="0.2">
      <c r="A114" s="8" t="s">
        <v>142</v>
      </c>
      <c r="B114" s="9" t="s">
        <v>20</v>
      </c>
      <c r="C114" s="9" t="s">
        <v>44</v>
      </c>
      <c r="D114" s="10" t="s">
        <v>24</v>
      </c>
      <c r="E114" s="11" t="s">
        <v>48</v>
      </c>
      <c r="F114" s="22">
        <v>0.55076059724460857</v>
      </c>
      <c r="G114" s="12">
        <v>890</v>
      </c>
      <c r="H114" s="24">
        <f>ABS(Tabela58[[#This Row],[ESi(hh_total)]])/SQRT(0.25/Tabela58[[#This Row],[n_hh_total]])</f>
        <v>3.0286683721002761</v>
      </c>
      <c r="I114" s="22">
        <f>Tabela58[[#This Row],[%_females_hh_total]]-0.5</f>
        <v>5.0760597244608574E-2</v>
      </c>
      <c r="J114" s="21">
        <f>Tabela58[[#This Row],[%_females_hh_total]]*(1-Tabela58[[#This Row],[%_females_hh_total]])/Tabela58[[#This Row],[n_hh_total]]</f>
        <v>2.780037772667086E-4</v>
      </c>
      <c r="L114" s="8" t="s">
        <v>171</v>
      </c>
      <c r="M114" s="9" t="s">
        <v>7</v>
      </c>
      <c r="N114" s="2" t="s">
        <v>48</v>
      </c>
      <c r="O114" s="1">
        <f>VLOOKUP(Tabela816[[#This Row],[ID]],Tabela58[],9,0)</f>
        <v>8.8542278061137791E-3</v>
      </c>
      <c r="P114" s="59">
        <f>VLOOKUP(Tabela816[[#This Row],[ID]],Tabela58[],10,0)</f>
        <v>3.4095716596174274E-4</v>
      </c>
      <c r="Q114" s="59">
        <f>Tabela816[[#This Row],[Variance]]</f>
        <v>3.4095716596174274E-4</v>
      </c>
      <c r="R114" s="60">
        <f>1/Tabela816[[#This Row],[Variance within]]</f>
        <v>2932.9197325396749</v>
      </c>
      <c r="S114" s="61">
        <f>Tabela816[[#This Row],[ESi ]]*Tabela816[[#This Row],[wi]]</f>
        <v>25.968739448952576</v>
      </c>
      <c r="T114" s="1">
        <f>Tabela816[[#This Row],[ESi ]]^2*Tabela816[[#This Row],[wi]]</f>
        <v>0.22993313491863973</v>
      </c>
      <c r="U114" s="60">
        <f>Tabela816[[#This Row],[wi]]^2</f>
        <v>8602018.1575205978</v>
      </c>
      <c r="V114" s="59">
        <f>Tabela816[[#This Row],[Variance]]</f>
        <v>3.4095716596174274E-4</v>
      </c>
      <c r="W114" s="59">
        <f t="shared" si="2"/>
        <v>3.3034188455158129E-4</v>
      </c>
      <c r="X114" s="59">
        <f>Tabela816[[#This Row],[Variance within2]]+Tabela816[[#This Row],[Variance between]]</f>
        <v>6.7129905051332398E-4</v>
      </c>
      <c r="Y114" s="60">
        <f>1/Tabela816[[#This Row],[Variance total]]</f>
        <v>1489.6490606315135</v>
      </c>
      <c r="Z114" s="62">
        <f>Tabela816[[#This Row],[ESi ]]*Tabela816[[#This Row],[wi'']]</f>
        <v>13.189692133994818</v>
      </c>
    </row>
    <row r="115" spans="1:26" x14ac:dyDescent="0.2">
      <c r="A115" s="8" t="s">
        <v>143</v>
      </c>
      <c r="B115" s="9" t="s">
        <v>20</v>
      </c>
      <c r="C115" s="9" t="s">
        <v>44</v>
      </c>
      <c r="D115" s="10" t="s">
        <v>25</v>
      </c>
      <c r="E115" s="11" t="s">
        <v>48</v>
      </c>
      <c r="F115" s="22">
        <v>0.53940473856191651</v>
      </c>
      <c r="G115" s="12">
        <v>917</v>
      </c>
      <c r="H115" s="24">
        <f>ABS(Tabela58[[#This Row],[ESi(hh_total)]])/SQRT(0.25/Tabela58[[#This Row],[n_hh_total]])</f>
        <v>2.3865092056633275</v>
      </c>
      <c r="I115" s="22">
        <f>Tabela58[[#This Row],[%_females_hh_total]]-0.5</f>
        <v>3.9404738561916508E-2</v>
      </c>
      <c r="J115" s="21">
        <f>Tabela58[[#This Row],[%_females_hh_total]]*(1-Tabela58[[#This Row],[%_females_hh_total]])/Tabela58[[#This Row],[n_hh_total]]</f>
        <v>2.7093485995514395E-4</v>
      </c>
      <c r="L115" s="8" t="s">
        <v>172</v>
      </c>
      <c r="M115" s="9" t="s">
        <v>7</v>
      </c>
      <c r="N115" s="2" t="s">
        <v>48</v>
      </c>
      <c r="O115" s="1">
        <f>VLOOKUP(Tabela816[[#This Row],[ID]],Tabela58[],9,0)</f>
        <v>-2.0588235294117574E-2</v>
      </c>
      <c r="P115" s="59">
        <f>VLOOKUP(Tabela816[[#This Row],[ID]],Tabela58[],10,0)</f>
        <v>3.6702371259922655E-4</v>
      </c>
      <c r="Q115" s="59">
        <f>Tabela816[[#This Row],[Variance]]</f>
        <v>3.6702371259922655E-4</v>
      </c>
      <c r="R115" s="60">
        <f>1/Tabela816[[#This Row],[Variance within]]</f>
        <v>2724.6195972409969</v>
      </c>
      <c r="S115" s="61">
        <f>Tabela816[[#This Row],[ESi ]]*Tabela816[[#This Row],[wi]]</f>
        <v>-56.095109354961501</v>
      </c>
      <c r="T115" s="1">
        <f>Tabela816[[#This Row],[ESi ]]^2*Tabela816[[#This Row],[wi]]</f>
        <v>1.1548993102492033</v>
      </c>
      <c r="U115" s="60">
        <f>Tabela816[[#This Row],[wi]]^2</f>
        <v>7423551.9496696917</v>
      </c>
      <c r="V115" s="59">
        <f>Tabela816[[#This Row],[Variance]]</f>
        <v>3.6702371259922655E-4</v>
      </c>
      <c r="W115" s="59">
        <f t="shared" si="2"/>
        <v>3.3034188455158129E-4</v>
      </c>
      <c r="X115" s="59">
        <f>Tabela816[[#This Row],[Variance within2]]+Tabela816[[#This Row],[Variance between]]</f>
        <v>6.9736559715080789E-4</v>
      </c>
      <c r="Y115" s="60">
        <f>1/Tabela816[[#This Row],[Variance total]]</f>
        <v>1433.9680708162985</v>
      </c>
      <c r="Z115" s="62">
        <f>Tabela816[[#This Row],[ESi ]]*Tabela816[[#This Row],[wi'']]</f>
        <v>-29.522872046217806</v>
      </c>
    </row>
    <row r="116" spans="1:26" x14ac:dyDescent="0.2">
      <c r="A116" s="8" t="s">
        <v>144</v>
      </c>
      <c r="B116" s="9" t="s">
        <v>20</v>
      </c>
      <c r="C116" s="9" t="s">
        <v>44</v>
      </c>
      <c r="D116" s="10" t="s">
        <v>26</v>
      </c>
      <c r="E116" s="11" t="s">
        <v>48</v>
      </c>
      <c r="F116" s="22">
        <v>0.52540144006750533</v>
      </c>
      <c r="G116" s="12">
        <v>871</v>
      </c>
      <c r="H116" s="24">
        <f>ABS(Tabela58[[#This Row],[ESi(hh_total)]])/SQRT(0.25/Tabela58[[#This Row],[n_hh_total]])</f>
        <v>1.4993306242255842</v>
      </c>
      <c r="I116" s="22">
        <f>Tabela58[[#This Row],[%_females_hh_total]]-0.5</f>
        <v>2.5401440067505332E-2</v>
      </c>
      <c r="J116" s="21">
        <f>Tabela58[[#This Row],[%_females_hh_total]]*(1-Tabela58[[#This Row],[%_females_hh_total]])/Tabela58[[#This Row],[n_hh_total]]</f>
        <v>2.8628561061136274E-4</v>
      </c>
      <c r="L116" s="8" t="s">
        <v>65</v>
      </c>
      <c r="M116" s="9" t="s">
        <v>8</v>
      </c>
      <c r="N116" s="2" t="s">
        <v>48</v>
      </c>
      <c r="O116" s="1">
        <f>VLOOKUP(Tabela816[[#This Row],[ID]],Tabela58[],9,0)</f>
        <v>-5.4790670055905211E-2</v>
      </c>
      <c r="P116" s="59">
        <f>VLOOKUP(Tabela816[[#This Row],[ID]],Tabela58[],10,0)</f>
        <v>5.0101010643980714E-4</v>
      </c>
      <c r="Q116" s="59">
        <f>Tabela816[[#This Row],[Variance]]</f>
        <v>5.0101010643980714E-4</v>
      </c>
      <c r="R116" s="60">
        <f>1/Tabela816[[#This Row],[Variance within]]</f>
        <v>1995.9677203041472</v>
      </c>
      <c r="S116" s="61">
        <f>Tabela816[[#This Row],[ESi ]]*Tabela816[[#This Row],[wi]]</f>
        <v>-109.36040880542183</v>
      </c>
      <c r="T116" s="1">
        <f>Tabela816[[#This Row],[ESi ]]^2*Tabela816[[#This Row],[wi]]</f>
        <v>5.9919300760367786</v>
      </c>
      <c r="U116" s="60">
        <f>Tabela816[[#This Row],[wi]]^2</f>
        <v>3983887.1404961343</v>
      </c>
      <c r="V116" s="59">
        <f>Tabela816[[#This Row],[Variance]]</f>
        <v>5.0101010643980714E-4</v>
      </c>
      <c r="W116" s="59">
        <f t="shared" si="2"/>
        <v>3.3034188455158129E-4</v>
      </c>
      <c r="X116" s="59">
        <f>Tabela816[[#This Row],[Variance within2]]+Tabela816[[#This Row],[Variance between]]</f>
        <v>8.3135199099138848E-4</v>
      </c>
      <c r="Y116" s="60">
        <f>1/Tabela816[[#This Row],[Variance total]]</f>
        <v>1202.8599327794939</v>
      </c>
      <c r="Z116" s="62">
        <f>Tabela816[[#This Row],[ESi ]]*Tabela816[[#This Row],[wi'']]</f>
        <v>-65.905501700389564</v>
      </c>
    </row>
    <row r="117" spans="1:26" x14ac:dyDescent="0.2">
      <c r="A117" s="8" t="s">
        <v>145</v>
      </c>
      <c r="B117" s="9" t="s">
        <v>20</v>
      </c>
      <c r="C117" s="9" t="s">
        <v>44</v>
      </c>
      <c r="D117" s="10" t="s">
        <v>27</v>
      </c>
      <c r="E117" s="11" t="s">
        <v>48</v>
      </c>
      <c r="F117" s="22">
        <v>0.55214890790452698</v>
      </c>
      <c r="G117" s="12">
        <v>788</v>
      </c>
      <c r="H117" s="24">
        <f>ABS(Tabela58[[#This Row],[ESi(hh_total)]])/SQRT(0.25/Tabela58[[#This Row],[n_hh_total]])</f>
        <v>2.9277792084515193</v>
      </c>
      <c r="I117" s="22">
        <f>Tabela58[[#This Row],[%_females_hh_total]]-0.5</f>
        <v>5.2148907904526975E-2</v>
      </c>
      <c r="J117" s="21">
        <f>Tabela58[[#This Row],[%_females_hh_total]]*(1-Tabela58[[#This Row],[%_females_hh_total]])/Tabela58[[#This Row],[n_hh_total]]</f>
        <v>3.1380773020858526E-4</v>
      </c>
      <c r="L117" s="8" t="s">
        <v>66</v>
      </c>
      <c r="M117" s="9" t="s">
        <v>8</v>
      </c>
      <c r="N117" s="2" t="s">
        <v>48</v>
      </c>
      <c r="O117" s="1">
        <f>VLOOKUP(Tabela816[[#This Row],[ID]],Tabela58[],9,0)</f>
        <v>3.085425073892667E-2</v>
      </c>
      <c r="P117" s="59">
        <f>VLOOKUP(Tabela816[[#This Row],[ID]],Tabela58[],10,0)</f>
        <v>2.2579149157873023E-4</v>
      </c>
      <c r="Q117" s="59">
        <f>Tabela816[[#This Row],[Variance]]</f>
        <v>2.2579149157873023E-4</v>
      </c>
      <c r="R117" s="60">
        <f>1/Tabela816[[#This Row],[Variance within]]</f>
        <v>4428.8648478648029</v>
      </c>
      <c r="S117" s="61">
        <f>Tabela816[[#This Row],[ESi ]]*Tabela816[[#This Row],[wi]]</f>
        <v>136.64930650483893</v>
      </c>
      <c r="T117" s="1">
        <f>Tabela816[[#This Row],[ESi ]]^2*Tabela816[[#This Row],[wi]]</f>
        <v>4.2162119662007438</v>
      </c>
      <c r="U117" s="60">
        <f>Tabela816[[#This Row],[wi]]^2</f>
        <v>19614843.840652522</v>
      </c>
      <c r="V117" s="59">
        <f>Tabela816[[#This Row],[Variance]]</f>
        <v>2.2579149157873023E-4</v>
      </c>
      <c r="W117" s="59">
        <f t="shared" si="2"/>
        <v>3.3034188455158129E-4</v>
      </c>
      <c r="X117" s="59">
        <f>Tabela816[[#This Row],[Variance within2]]+Tabela816[[#This Row],[Variance between]]</f>
        <v>5.5613337613031146E-4</v>
      </c>
      <c r="Y117" s="60">
        <f>1/Tabela816[[#This Row],[Variance total]]</f>
        <v>1798.129806483118</v>
      </c>
      <c r="Z117" s="62">
        <f>Tabela816[[#This Row],[ESi ]]*Tabela816[[#This Row],[wi'']]</f>
        <v>55.479947910367812</v>
      </c>
    </row>
    <row r="118" spans="1:26" x14ac:dyDescent="0.2">
      <c r="A118" s="8" t="s">
        <v>146</v>
      </c>
      <c r="B118" s="9" t="s">
        <v>20</v>
      </c>
      <c r="C118" s="9" t="s">
        <v>44</v>
      </c>
      <c r="D118" s="10" t="s">
        <v>47</v>
      </c>
      <c r="E118" s="11" t="s">
        <v>48</v>
      </c>
      <c r="F118" s="22">
        <v>0.46537791527961642</v>
      </c>
      <c r="G118" s="12">
        <v>486</v>
      </c>
      <c r="H118" s="24">
        <f>ABS(Tabela58[[#This Row],[ESi(hh_total)]])/SQRT(0.25/Tabela58[[#This Row],[n_hh_total]])</f>
        <v>1.5265159451342962</v>
      </c>
      <c r="I118" s="22">
        <f>Tabela58[[#This Row],[%_females_hh_total]]-0.5</f>
        <v>-3.4622084720383584E-2</v>
      </c>
      <c r="J118" s="21">
        <f>Tabela58[[#This Row],[%_females_hh_total]]*(1-Tabela58[[#This Row],[%_females_hh_total]])/Tabela58[[#This Row],[n_hh_total]]</f>
        <v>5.1193685442307521E-4</v>
      </c>
      <c r="L118" s="8" t="s">
        <v>67</v>
      </c>
      <c r="M118" s="9" t="s">
        <v>8</v>
      </c>
      <c r="N118" s="2" t="s">
        <v>48</v>
      </c>
      <c r="O118" s="1">
        <f>VLOOKUP(Tabela816[[#This Row],[ID]],Tabela58[],9,0)</f>
        <v>-2.4844514721388489E-2</v>
      </c>
      <c r="P118" s="59">
        <f>VLOOKUP(Tabela816[[#This Row],[ID]],Tabela58[],10,0)</f>
        <v>3.35643001464682E-4</v>
      </c>
      <c r="Q118" s="59">
        <f>Tabela816[[#This Row],[Variance]]</f>
        <v>3.35643001464682E-4</v>
      </c>
      <c r="R118" s="60">
        <f>1/Tabela816[[#This Row],[Variance within]]</f>
        <v>2979.3560289837442</v>
      </c>
      <c r="S118" s="61">
        <f>Tabela816[[#This Row],[ESi ]]*Tabela816[[#This Row],[wi]]</f>
        <v>-74.020654722344176</v>
      </c>
      <c r="T118" s="1">
        <f>Tabela816[[#This Row],[ESi ]]^2*Tabela816[[#This Row],[wi]]</f>
        <v>1.8390072459360942</v>
      </c>
      <c r="U118" s="60">
        <f>Tabela816[[#This Row],[wi]]^2</f>
        <v>8876562.347441785</v>
      </c>
      <c r="V118" s="59">
        <f>Tabela816[[#This Row],[Variance]]</f>
        <v>3.35643001464682E-4</v>
      </c>
      <c r="W118" s="59">
        <f t="shared" si="2"/>
        <v>3.3034188455158129E-4</v>
      </c>
      <c r="X118" s="59">
        <f>Tabela816[[#This Row],[Variance within2]]+Tabela816[[#This Row],[Variance between]]</f>
        <v>6.6598488601626329E-4</v>
      </c>
      <c r="Y118" s="60">
        <f>1/Tabela816[[#This Row],[Variance total]]</f>
        <v>1501.5355768532863</v>
      </c>
      <c r="Z118" s="62">
        <f>Tabela816[[#This Row],[ESi ]]*Tabela816[[#This Row],[wi'']]</f>
        <v>-37.304922743820029</v>
      </c>
    </row>
    <row r="119" spans="1:26" x14ac:dyDescent="0.2">
      <c r="A119" s="8" t="s">
        <v>161</v>
      </c>
      <c r="B119" s="9" t="s">
        <v>21</v>
      </c>
      <c r="C119" s="9" t="s">
        <v>45</v>
      </c>
      <c r="D119" s="10" t="s">
        <v>4</v>
      </c>
      <c r="E119" s="14" t="s">
        <v>6</v>
      </c>
      <c r="F119" s="22">
        <v>0.49505928853754905</v>
      </c>
      <c r="G119" s="12">
        <v>1012</v>
      </c>
      <c r="H119" s="24">
        <f>ABS(Tabela58[[#This Row],[ESi(hh_total)]])/SQRT(0.25/Tabela58[[#This Row],[n_hh_total]])</f>
        <v>0.31434730673098865</v>
      </c>
      <c r="I119" s="22">
        <f>Tabela58[[#This Row],[%_females_hh_total]]-0.5</f>
        <v>-4.9407114624509529E-3</v>
      </c>
      <c r="J119" s="21">
        <f>Tabela58[[#This Row],[%_females_hh_total]]*(1-Tabela58[[#This Row],[%_females_hh_total]])/Tabela58[[#This Row],[n_hh_total]]</f>
        <v>2.470114519468822E-4</v>
      </c>
      <c r="L119" s="8" t="s">
        <v>68</v>
      </c>
      <c r="M119" s="9" t="s">
        <v>8</v>
      </c>
      <c r="N119" s="2" t="s">
        <v>48</v>
      </c>
      <c r="O119" s="1">
        <f>VLOOKUP(Tabela816[[#This Row],[ID]],Tabela58[],9,0)</f>
        <v>-2.1572581525117873E-2</v>
      </c>
      <c r="P119" s="59">
        <f>VLOOKUP(Tabela816[[#This Row],[ID]],Tabela58[],10,0)</f>
        <v>2.9460994536758222E-4</v>
      </c>
      <c r="Q119" s="59">
        <f>Tabela816[[#This Row],[Variance]]</f>
        <v>2.9460994536758222E-4</v>
      </c>
      <c r="R119" s="60">
        <f>1/Tabela816[[#This Row],[Variance within]]</f>
        <v>3394.3185412573525</v>
      </c>
      <c r="S119" s="61">
        <f>Tabela816[[#This Row],[ESi ]]*Tabela816[[#This Row],[wi]]</f>
        <v>-73.224213453493419</v>
      </c>
      <c r="T119" s="1">
        <f>Tabela816[[#This Row],[ESi ]]^2*Tabela816[[#This Row],[wi]]</f>
        <v>1.5796353143381197</v>
      </c>
      <c r="U119" s="60">
        <f>Tabela816[[#This Row],[wi]]^2</f>
        <v>11521398.359523442</v>
      </c>
      <c r="V119" s="59">
        <f>Tabela816[[#This Row],[Variance]]</f>
        <v>2.9460994536758222E-4</v>
      </c>
      <c r="W119" s="59">
        <f t="shared" si="2"/>
        <v>3.3034188455158129E-4</v>
      </c>
      <c r="X119" s="59">
        <f>Tabela816[[#This Row],[Variance within2]]+Tabela816[[#This Row],[Variance between]]</f>
        <v>6.2495182991916345E-4</v>
      </c>
      <c r="Y119" s="60">
        <f>1/Tabela816[[#This Row],[Variance total]]</f>
        <v>1600.1233249118552</v>
      </c>
      <c r="Z119" s="62">
        <f>Tabela816[[#This Row],[ESi ]]*Tabela816[[#This Row],[wi'']]</f>
        <v>-34.518790876903672</v>
      </c>
    </row>
    <row r="120" spans="1:26" x14ac:dyDescent="0.2">
      <c r="A120" s="8" t="s">
        <v>162</v>
      </c>
      <c r="B120" s="9" t="s">
        <v>21</v>
      </c>
      <c r="C120" s="9" t="s">
        <v>45</v>
      </c>
      <c r="D120" s="10" t="s">
        <v>23</v>
      </c>
      <c r="E120" s="15" t="s">
        <v>6</v>
      </c>
      <c r="F120" s="22">
        <v>0.48657024793388459</v>
      </c>
      <c r="G120" s="12">
        <v>968</v>
      </c>
      <c r="H120" s="24">
        <f>ABS(Tabela58[[#This Row],[ESi(hh_total)]])/SQRT(0.25/Tabela58[[#This Row],[n_hh_total]])</f>
        <v>0.83567165049317416</v>
      </c>
      <c r="I120" s="22">
        <f>Tabela58[[#This Row],[%_females_hh_total]]-0.5</f>
        <v>-1.3429752066115408E-2</v>
      </c>
      <c r="J120" s="21">
        <f>Tabela58[[#This Row],[%_females_hh_total]]*(1-Tabela58[[#This Row],[%_females_hh_total]])/Tabela58[[#This Row],[n_hh_total]]</f>
        <v>2.580781423134738E-4</v>
      </c>
      <c r="L120" s="8" t="s">
        <v>69</v>
      </c>
      <c r="M120" s="9" t="s">
        <v>8</v>
      </c>
      <c r="N120" s="2" t="s">
        <v>48</v>
      </c>
      <c r="O120" s="1">
        <f>VLOOKUP(Tabela816[[#This Row],[ID]],Tabela58[],9,0)</f>
        <v>-4.1623692357162345E-2</v>
      </c>
      <c r="P120" s="59">
        <f>VLOOKUP(Tabela816[[#This Row],[ID]],Tabela58[],10,0)</f>
        <v>3.170721177963682E-4</v>
      </c>
      <c r="Q120" s="59">
        <f>Tabela816[[#This Row],[Variance]]</f>
        <v>3.170721177963682E-4</v>
      </c>
      <c r="R120" s="60">
        <f>1/Tabela816[[#This Row],[Variance within]]</f>
        <v>3153.8566271608452</v>
      </c>
      <c r="S120" s="61">
        <f>Tabela816[[#This Row],[ESi ]]*Tabela816[[#This Row],[wi]]</f>
        <v>-131.27515798754069</v>
      </c>
      <c r="T120" s="1">
        <f>Tabela816[[#This Row],[ESi ]]^2*Tabela816[[#This Row],[wi]]</f>
        <v>5.4641567902112769</v>
      </c>
      <c r="U120" s="60">
        <f>Tabela816[[#This Row],[wi]]^2</f>
        <v>9946811.6246863827</v>
      </c>
      <c r="V120" s="59">
        <f>Tabela816[[#This Row],[Variance]]</f>
        <v>3.170721177963682E-4</v>
      </c>
      <c r="W120" s="59">
        <f t="shared" si="2"/>
        <v>3.3034188455158129E-4</v>
      </c>
      <c r="X120" s="59">
        <f>Tabela816[[#This Row],[Variance within2]]+Tabela816[[#This Row],[Variance between]]</f>
        <v>6.4741400234794954E-4</v>
      </c>
      <c r="Y120" s="60">
        <f>1/Tabela816[[#This Row],[Variance total]]</f>
        <v>1544.6066911950336</v>
      </c>
      <c r="Z120" s="62">
        <f>Tabela816[[#This Row],[ESi ]]*Tabela816[[#This Row],[wi'']]</f>
        <v>-64.292233727116539</v>
      </c>
    </row>
    <row r="121" spans="1:26" x14ac:dyDescent="0.2">
      <c r="A121" s="8" t="s">
        <v>163</v>
      </c>
      <c r="B121" s="9" t="s">
        <v>21</v>
      </c>
      <c r="C121" s="9" t="s">
        <v>45</v>
      </c>
      <c r="D121" s="10" t="s">
        <v>24</v>
      </c>
      <c r="E121" s="15" t="s">
        <v>6</v>
      </c>
      <c r="F121" s="22">
        <v>0.48544698544698539</v>
      </c>
      <c r="G121" s="12">
        <v>962</v>
      </c>
      <c r="H121" s="24">
        <f>ABS(Tabela58[[#This Row],[ESi(hh_total)]])/SQRT(0.25/Tabela58[[#This Row],[n_hh_total]])</f>
        <v>0.902756232306829</v>
      </c>
      <c r="I121" s="22">
        <f>Tabela58[[#This Row],[%_females_hh_total]]-0.5</f>
        <v>-1.4553014553014609E-2</v>
      </c>
      <c r="J121" s="21">
        <f>Tabela58[[#This Row],[%_females_hh_total]]*(1-Tabela58[[#This Row],[%_females_hh_total]])/Tabela58[[#This Row],[n_hh_total]]</f>
        <v>2.5965510370833654E-4</v>
      </c>
      <c r="L121" s="8" t="s">
        <v>70</v>
      </c>
      <c r="M121" s="9" t="s">
        <v>8</v>
      </c>
      <c r="N121" s="2" t="s">
        <v>48</v>
      </c>
      <c r="O121" s="1">
        <f>VLOOKUP(Tabela816[[#This Row],[ID]],Tabela58[],9,0)</f>
        <v>1.5190409630354673E-2</v>
      </c>
      <c r="P121" s="59">
        <f>VLOOKUP(Tabela816[[#This Row],[ID]],Tabela58[],10,0)</f>
        <v>3.0759760031436208E-4</v>
      </c>
      <c r="Q121" s="59">
        <f>Tabela816[[#This Row],[Variance]]</f>
        <v>3.0759760031436208E-4</v>
      </c>
      <c r="R121" s="60">
        <f>1/Tabela816[[#This Row],[Variance within]]</f>
        <v>3251.0006546800387</v>
      </c>
      <c r="S121" s="61">
        <f>Tabela816[[#This Row],[ESi ]]*Tabela816[[#This Row],[wi]]</f>
        <v>49.384031653141008</v>
      </c>
      <c r="T121" s="1">
        <f>Tabela816[[#This Row],[ESi ]]^2*Tabela816[[#This Row],[wi]]</f>
        <v>0.75016367000961315</v>
      </c>
      <c r="U121" s="60">
        <f>Tabela816[[#This Row],[wi]]^2</f>
        <v>10569005.256730041</v>
      </c>
      <c r="V121" s="59">
        <f>Tabela816[[#This Row],[Variance]]</f>
        <v>3.0759760031436208E-4</v>
      </c>
      <c r="W121" s="59">
        <f t="shared" si="2"/>
        <v>3.3034188455158129E-4</v>
      </c>
      <c r="X121" s="59">
        <f>Tabela816[[#This Row],[Variance within2]]+Tabela816[[#This Row],[Variance between]]</f>
        <v>6.3793948486594331E-4</v>
      </c>
      <c r="Y121" s="60">
        <f>1/Tabela816[[#This Row],[Variance total]]</f>
        <v>1567.5468029857725</v>
      </c>
      <c r="Z121" s="62">
        <f>Tabela816[[#This Row],[ESi ]]*Tabela816[[#This Row],[wi'']]</f>
        <v>23.811678052106757</v>
      </c>
    </row>
    <row r="122" spans="1:26" x14ac:dyDescent="0.2">
      <c r="A122" s="8" t="s">
        <v>164</v>
      </c>
      <c r="B122" s="9" t="s">
        <v>21</v>
      </c>
      <c r="C122" s="9" t="s">
        <v>45</v>
      </c>
      <c r="D122" s="10" t="s">
        <v>25</v>
      </c>
      <c r="E122" s="15" t="s">
        <v>6</v>
      </c>
      <c r="F122" s="22">
        <v>0.49120879120879107</v>
      </c>
      <c r="G122" s="12">
        <v>910</v>
      </c>
      <c r="H122" s="24">
        <f>ABS(Tabela58[[#This Row],[ESi(hh_total)]])/SQRT(0.25/Tabela58[[#This Row],[n_hh_total]])</f>
        <v>0.53039483530544485</v>
      </c>
      <c r="I122" s="22">
        <f>Tabela58[[#This Row],[%_females_hh_total]]-0.5</f>
        <v>-8.7912087912089265E-3</v>
      </c>
      <c r="J122" s="21">
        <f>Tabela58[[#This Row],[%_females_hh_total]]*(1-Tabela58[[#This Row],[%_females_hh_total]])/Tabela58[[#This Row],[n_hh_total]]</f>
        <v>2.7464034576702134E-4</v>
      </c>
      <c r="L122" s="8" t="s">
        <v>154</v>
      </c>
      <c r="M122" s="9" t="s">
        <v>11</v>
      </c>
      <c r="N122" s="2" t="s">
        <v>48</v>
      </c>
      <c r="O122" s="1">
        <f>VLOOKUP(Tabela816[[#This Row],[ID]],Tabela58[],9,0)</f>
        <v>-3.0384234689725953E-3</v>
      </c>
      <c r="P122" s="59">
        <f>VLOOKUP(Tabela816[[#This Row],[ID]],Tabela58[],10,0)</f>
        <v>3.9998522877251715E-4</v>
      </c>
      <c r="Q122" s="59">
        <f>Tabela816[[#This Row],[Variance]]</f>
        <v>3.9998522877251715E-4</v>
      </c>
      <c r="R122" s="60">
        <f>1/Tabela816[[#This Row],[Variance within]]</f>
        <v>2500.0923235810992</v>
      </c>
      <c r="S122" s="61">
        <f>Tabela816[[#This Row],[ESi ]]*Tabela816[[#This Row],[wi]]</f>
        <v>-7.5963391905670399</v>
      </c>
      <c r="T122" s="1">
        <f>Tabela816[[#This Row],[ESi ]]^2*Tabela816[[#This Row],[wi]]</f>
        <v>2.308089527489518E-2</v>
      </c>
      <c r="U122" s="60">
        <f>Tabela816[[#This Row],[wi]]^2</f>
        <v>6250461.6264291396</v>
      </c>
      <c r="V122" s="59">
        <f>Tabela816[[#This Row],[Variance]]</f>
        <v>3.9998522877251715E-4</v>
      </c>
      <c r="W122" s="59">
        <f t="shared" si="2"/>
        <v>3.3034188455158129E-4</v>
      </c>
      <c r="X122" s="59">
        <f>Tabela816[[#This Row],[Variance within2]]+Tabela816[[#This Row],[Variance between]]</f>
        <v>7.3032711332409839E-4</v>
      </c>
      <c r="Y122" s="60">
        <f>1/Tabela816[[#This Row],[Variance total]]</f>
        <v>1369.2494524110984</v>
      </c>
      <c r="Z122" s="62">
        <f>Tabela816[[#This Row],[ESi ]]*Tabela816[[#This Row],[wi'']]</f>
        <v>-4.1603596710837563</v>
      </c>
    </row>
    <row r="123" spans="1:26" x14ac:dyDescent="0.2">
      <c r="A123" s="8" t="s">
        <v>165</v>
      </c>
      <c r="B123" s="9" t="s">
        <v>21</v>
      </c>
      <c r="C123" s="9" t="s">
        <v>45</v>
      </c>
      <c r="D123" s="10" t="s">
        <v>26</v>
      </c>
      <c r="E123" s="15" t="s">
        <v>6</v>
      </c>
      <c r="F123" s="22">
        <v>0.50468540829986663</v>
      </c>
      <c r="G123" s="12">
        <v>747</v>
      </c>
      <c r="H123" s="24">
        <f>ABS(Tabela58[[#This Row],[ESi(hh_total)]])/SQRT(0.25/Tabela58[[#This Row],[n_hh_total]])</f>
        <v>0.2561166066426383</v>
      </c>
      <c r="I123" s="22">
        <f>Tabela58[[#This Row],[%_females_hh_total]]-0.5</f>
        <v>4.6854082998666335E-3</v>
      </c>
      <c r="J123" s="21">
        <f>Tabela58[[#This Row],[%_females_hh_total]]*(1-Tabela58[[#This Row],[%_females_hh_total]])/Tabela58[[#This Row],[n_hh_total]]</f>
        <v>3.3464263313127648E-4</v>
      </c>
      <c r="L123" s="8" t="s">
        <v>91</v>
      </c>
      <c r="M123" s="9" t="s">
        <v>13</v>
      </c>
      <c r="N123" s="2" t="s">
        <v>48</v>
      </c>
      <c r="O123" s="1">
        <f>VLOOKUP(Tabela816[[#This Row],[ID]],Tabela58[],9,0)</f>
        <v>2.8447888592762927E-2</v>
      </c>
      <c r="P123" s="59">
        <f>VLOOKUP(Tabela816[[#This Row],[ID]],Tabela58[],10,0)</f>
        <v>3.6378206953958215E-4</v>
      </c>
      <c r="Q123" s="59">
        <f>Tabela816[[#This Row],[Variance]]</f>
        <v>3.6378206953958215E-4</v>
      </c>
      <c r="R123" s="60">
        <f>1/Tabela816[[#This Row],[Variance within]]</f>
        <v>2748.8985404520954</v>
      </c>
      <c r="S123" s="61">
        <f>Tabela816[[#This Row],[ESi ]]*Tabela816[[#This Row],[wi]]</f>
        <v>78.200359431589817</v>
      </c>
      <c r="T123" s="1">
        <f>Tabela816[[#This Row],[ESi ]]^2*Tabela816[[#This Row],[wi]]</f>
        <v>2.2246351130238846</v>
      </c>
      <c r="U123" s="60">
        <f>Tabela816[[#This Row],[wi]]^2</f>
        <v>7556443.1856996603</v>
      </c>
      <c r="V123" s="59">
        <f>Tabela816[[#This Row],[Variance]]</f>
        <v>3.6378206953958215E-4</v>
      </c>
      <c r="W123" s="59">
        <f t="shared" si="2"/>
        <v>3.3034188455158129E-4</v>
      </c>
      <c r="X123" s="59">
        <f>Tabela816[[#This Row],[Variance within2]]+Tabela816[[#This Row],[Variance between]]</f>
        <v>6.9412395409116344E-4</v>
      </c>
      <c r="Y123" s="60">
        <f>1/Tabela816[[#This Row],[Variance total]]</f>
        <v>1440.6648756407333</v>
      </c>
      <c r="Z123" s="62">
        <f>Tabela816[[#This Row],[ESi ]]*Tabela816[[#This Row],[wi'']]</f>
        <v>40.983873881734233</v>
      </c>
    </row>
    <row r="124" spans="1:26" x14ac:dyDescent="0.2">
      <c r="A124" s="8" t="s">
        <v>166</v>
      </c>
      <c r="B124" s="9" t="s">
        <v>21</v>
      </c>
      <c r="C124" s="9" t="s">
        <v>45</v>
      </c>
      <c r="D124" s="10" t="s">
        <v>27</v>
      </c>
      <c r="E124" s="15" t="s">
        <v>6</v>
      </c>
      <c r="F124" s="22">
        <v>0.46400885935769642</v>
      </c>
      <c r="G124" s="12">
        <v>903</v>
      </c>
      <c r="H124" s="24">
        <f>ABS(Tabela58[[#This Row],[ESi(hh_total)]])/SQRT(0.25/Tabela58[[#This Row],[n_hh_total]])</f>
        <v>2.1630645583291042</v>
      </c>
      <c r="I124" s="22">
        <f>Tabela58[[#This Row],[%_females_hh_total]]-0.5</f>
        <v>-3.5991140642303576E-2</v>
      </c>
      <c r="J124" s="21">
        <f>Tabela58[[#This Row],[%_females_hh_total]]*(1-Tabela58[[#This Row],[%_females_hh_total]])/Tabela58[[#This Row],[n_hh_total]]</f>
        <v>2.7542041837792461E-4</v>
      </c>
      <c r="L124" s="8" t="s">
        <v>92</v>
      </c>
      <c r="M124" s="9" t="s">
        <v>13</v>
      </c>
      <c r="N124" s="2" t="s">
        <v>48</v>
      </c>
      <c r="O124" s="1">
        <f>VLOOKUP(Tabela816[[#This Row],[ID]],Tabela58[],9,0)</f>
        <v>-7.4312819308933742E-3</v>
      </c>
      <c r="P124" s="59">
        <f>VLOOKUP(Tabela816[[#This Row],[ID]],Tabela58[],10,0)</f>
        <v>2.9405267770454542E-4</v>
      </c>
      <c r="Q124" s="59">
        <f>Tabela816[[#This Row],[Variance]]</f>
        <v>2.9405267770454542E-4</v>
      </c>
      <c r="R124" s="60">
        <f>1/Tabela816[[#This Row],[Variance within]]</f>
        <v>3400.7512116749622</v>
      </c>
      <c r="S124" s="61">
        <f>Tabela816[[#This Row],[ESi ]]*Tabela816[[#This Row],[wi]]</f>
        <v>-25.271941030783896</v>
      </c>
      <c r="T124" s="1">
        <f>Tabela816[[#This Row],[ESi ]]^2*Tabela816[[#This Row],[wi]]</f>
        <v>0.18780291874066724</v>
      </c>
      <c r="U124" s="60">
        <f>Tabela816[[#This Row],[wi]]^2</f>
        <v>11565108.803708723</v>
      </c>
      <c r="V124" s="59">
        <f>Tabela816[[#This Row],[Variance]]</f>
        <v>2.9405267770454542E-4</v>
      </c>
      <c r="W124" s="59">
        <f t="shared" si="2"/>
        <v>3.3034188455158129E-4</v>
      </c>
      <c r="X124" s="59">
        <f>Tabela816[[#This Row],[Variance within2]]+Tabela816[[#This Row],[Variance between]]</f>
        <v>6.2439456225612676E-4</v>
      </c>
      <c r="Y124" s="60">
        <f>1/Tabela816[[#This Row],[Variance total]]</f>
        <v>1601.5514234888544</v>
      </c>
      <c r="Z124" s="62">
        <f>Tabela816[[#This Row],[ESi ]]*Tabela816[[#This Row],[wi'']]</f>
        <v>-11.901580154769286</v>
      </c>
    </row>
    <row r="125" spans="1:26" x14ac:dyDescent="0.2">
      <c r="A125" s="8" t="s">
        <v>167</v>
      </c>
      <c r="B125" s="9" t="s">
        <v>21</v>
      </c>
      <c r="C125" s="9" t="s">
        <v>45</v>
      </c>
      <c r="D125" s="10" t="s">
        <v>47</v>
      </c>
      <c r="E125" s="15" t="s">
        <v>6</v>
      </c>
      <c r="F125" s="22">
        <v>0.49776286353467614</v>
      </c>
      <c r="G125" s="12">
        <v>894</v>
      </c>
      <c r="H125" s="24">
        <f>ABS(Tabela58[[#This Row],[ESi(hh_total)]])/SQRT(0.25/Tabela58[[#This Row],[n_hh_total]])</f>
        <v>0.13378001241809906</v>
      </c>
      <c r="I125" s="22">
        <f>Tabela58[[#This Row],[%_females_hh_total]]-0.5</f>
        <v>-2.2371364653238635E-3</v>
      </c>
      <c r="J125" s="21">
        <f>Tabela58[[#This Row],[%_females_hh_total]]*(1-Tabela58[[#This Row],[%_females_hh_total]])/Tabela58[[#This Row],[n_hh_total]]</f>
        <v>2.7963645997811581E-4</v>
      </c>
      <c r="L125" s="8" t="s">
        <v>93</v>
      </c>
      <c r="M125" s="9" t="s">
        <v>13</v>
      </c>
      <c r="N125" s="2" t="s">
        <v>48</v>
      </c>
      <c r="O125" s="1">
        <f>VLOOKUP(Tabela816[[#This Row],[ID]],Tabela58[],9,0)</f>
        <v>-4.7559221430813481E-3</v>
      </c>
      <c r="P125" s="59">
        <f>VLOOKUP(Tabela816[[#This Row],[ID]],Tabela58[],10,0)</f>
        <v>2.5072956991431186E-4</v>
      </c>
      <c r="Q125" s="59">
        <f>Tabela816[[#This Row],[Variance]]</f>
        <v>2.5072956991431186E-4</v>
      </c>
      <c r="R125" s="60">
        <f>1/Tabela816[[#This Row],[Variance within]]</f>
        <v>3988.3608476724753</v>
      </c>
      <c r="S125" s="61">
        <f>Tabela816[[#This Row],[ESi ]]*Tabela816[[#This Row],[wi]]</f>
        <v>-18.96833367004422</v>
      </c>
      <c r="T125" s="1">
        <f>Tabela816[[#This Row],[ESi ]]^2*Tabela816[[#This Row],[wi]]</f>
        <v>9.0211918118718801E-2</v>
      </c>
      <c r="U125" s="60">
        <f>Tabela816[[#This Row],[wi]]^2</f>
        <v>15907022.251246706</v>
      </c>
      <c r="V125" s="59">
        <f>Tabela816[[#This Row],[Variance]]</f>
        <v>2.5072956991431186E-4</v>
      </c>
      <c r="W125" s="59">
        <f t="shared" si="2"/>
        <v>3.3034188455158129E-4</v>
      </c>
      <c r="X125" s="59">
        <f>Tabela816[[#This Row],[Variance within2]]+Tabela816[[#This Row],[Variance between]]</f>
        <v>5.8107145446589315E-4</v>
      </c>
      <c r="Y125" s="60">
        <f>1/Tabela816[[#This Row],[Variance total]]</f>
        <v>1720.9587432223389</v>
      </c>
      <c r="Z125" s="62">
        <f>Tabela816[[#This Row],[ESi ]]*Tabela816[[#This Row],[wi'']]</f>
        <v>-8.1847457942205697</v>
      </c>
    </row>
    <row r="126" spans="1:26" x14ac:dyDescent="0.2">
      <c r="A126" s="8" t="s">
        <v>147</v>
      </c>
      <c r="B126" s="9" t="s">
        <v>22</v>
      </c>
      <c r="C126" s="9" t="s">
        <v>46</v>
      </c>
      <c r="D126" s="10" t="s">
        <v>4</v>
      </c>
      <c r="E126" s="14" t="s">
        <v>6</v>
      </c>
      <c r="F126" s="22">
        <v>0.5263157894736844</v>
      </c>
      <c r="G126" s="12">
        <v>342</v>
      </c>
      <c r="H126" s="24">
        <f>ABS(Tabela58[[#This Row],[ESi(hh_total)]])/SQRT(0.25/Tabela58[[#This Row],[n_hh_total]])</f>
        <v>0.97332852678458237</v>
      </c>
      <c r="I126" s="22">
        <f>Tabela58[[#This Row],[%_females_hh_total]]-0.5</f>
        <v>2.6315789473684403E-2</v>
      </c>
      <c r="J126" s="21">
        <f>Tabela58[[#This Row],[%_females_hh_total]]*(1-Tabela58[[#This Row],[%_females_hh_total]])/Tabela58[[#This Row],[n_hh_total]]</f>
        <v>7.2896923749817748E-4</v>
      </c>
      <c r="L126" s="8" t="s">
        <v>94</v>
      </c>
      <c r="M126" s="9" t="s">
        <v>13</v>
      </c>
      <c r="N126" s="2" t="s">
        <v>48</v>
      </c>
      <c r="O126" s="1">
        <f>VLOOKUP(Tabela816[[#This Row],[ID]],Tabela58[],9,0)</f>
        <v>2.3012560960341544E-2</v>
      </c>
      <c r="P126" s="59">
        <f>VLOOKUP(Tabela816[[#This Row],[ID]],Tabela58[],10,0)</f>
        <v>2.5250042716401473E-4</v>
      </c>
      <c r="Q126" s="59">
        <f>Tabela816[[#This Row],[Variance]]</f>
        <v>2.5250042716401473E-4</v>
      </c>
      <c r="R126" s="60">
        <f>1/Tabela816[[#This Row],[Variance within]]</f>
        <v>3960.3893396601575</v>
      </c>
      <c r="S126" s="61">
        <f>Tabela816[[#This Row],[ESi ]]*Tabela816[[#This Row],[wi]]</f>
        <v>91.138701105616164</v>
      </c>
      <c r="T126" s="1">
        <f>Tabela816[[#This Row],[ESi ]]^2*Tabela816[[#This Row],[wi]]</f>
        <v>2.097334915039339</v>
      </c>
      <c r="U126" s="60">
        <f>Tabela816[[#This Row],[wi]]^2</f>
        <v>15684683.721693818</v>
      </c>
      <c r="V126" s="59">
        <f>Tabela816[[#This Row],[Variance]]</f>
        <v>2.5250042716401473E-4</v>
      </c>
      <c r="W126" s="59">
        <f t="shared" si="2"/>
        <v>3.3034188455158129E-4</v>
      </c>
      <c r="X126" s="59">
        <f>Tabela816[[#This Row],[Variance within2]]+Tabela816[[#This Row],[Variance between]]</f>
        <v>5.8284231171559602E-4</v>
      </c>
      <c r="Y126" s="60">
        <f>1/Tabela816[[#This Row],[Variance total]]</f>
        <v>1715.7299322633262</v>
      </c>
      <c r="Z126" s="62">
        <f>Tabela816[[#This Row],[ESi ]]*Tabela816[[#This Row],[wi'']]</f>
        <v>39.483339657692461</v>
      </c>
    </row>
    <row r="127" spans="1:26" x14ac:dyDescent="0.2">
      <c r="A127" s="8" t="s">
        <v>148</v>
      </c>
      <c r="B127" s="9" t="s">
        <v>22</v>
      </c>
      <c r="C127" s="9" t="s">
        <v>46</v>
      </c>
      <c r="D127" s="10" t="s">
        <v>23</v>
      </c>
      <c r="E127" s="15" t="s">
        <v>6</v>
      </c>
      <c r="F127" s="22">
        <v>0.50427350427350459</v>
      </c>
      <c r="G127" s="12">
        <v>351</v>
      </c>
      <c r="H127" s="24">
        <f>ABS(Tabela58[[#This Row],[ESi(hh_total)]])/SQRT(0.25/Tabela58[[#This Row],[n_hh_total]])</f>
        <v>0.16012815380509904</v>
      </c>
      <c r="I127" s="22">
        <f>Tabela58[[#This Row],[%_females_hh_total]]-0.5</f>
        <v>4.2735042735045914E-3</v>
      </c>
      <c r="J127" s="21">
        <f>Tabela58[[#This Row],[%_females_hh_total]]*(1-Tabela58[[#This Row],[%_females_hh_total]])/Tabela58[[#This Row],[n_hh_total]]</f>
        <v>7.1219868137100957E-4</v>
      </c>
      <c r="L127" s="8" t="s">
        <v>95</v>
      </c>
      <c r="M127" s="9" t="s">
        <v>13</v>
      </c>
      <c r="N127" s="2" t="s">
        <v>48</v>
      </c>
      <c r="O127" s="1">
        <f>VLOOKUP(Tabela816[[#This Row],[ID]],Tabela58[],9,0)</f>
        <v>1.33411824954629E-2</v>
      </c>
      <c r="P127" s="59">
        <f>VLOOKUP(Tabela816[[#This Row],[ID]],Tabela58[],10,0)</f>
        <v>3.2742072457355538E-4</v>
      </c>
      <c r="Q127" s="59">
        <f>Tabela816[[#This Row],[Variance]]</f>
        <v>3.2742072457355538E-4</v>
      </c>
      <c r="R127" s="60">
        <f>1/Tabela816[[#This Row],[Variance within]]</f>
        <v>3054.174415203669</v>
      </c>
      <c r="S127" s="61">
        <f>Tabela816[[#This Row],[ESi ]]*Tabela816[[#This Row],[wi]]</f>
        <v>40.746298246205825</v>
      </c>
      <c r="T127" s="1">
        <f>Tabela816[[#This Row],[ESi ]]^2*Tabela816[[#This Row],[wi]]</f>
        <v>0.54360380091719185</v>
      </c>
      <c r="U127" s="60">
        <f>Tabela816[[#This Row],[wi]]^2</f>
        <v>9327981.3584846742</v>
      </c>
      <c r="V127" s="59">
        <f>Tabela816[[#This Row],[Variance]]</f>
        <v>3.2742072457355538E-4</v>
      </c>
      <c r="W127" s="59">
        <f t="shared" si="2"/>
        <v>3.3034188455158129E-4</v>
      </c>
      <c r="X127" s="59">
        <f>Tabela816[[#This Row],[Variance within2]]+Tabela816[[#This Row],[Variance between]]</f>
        <v>6.5776260912513672E-4</v>
      </c>
      <c r="Y127" s="60">
        <f>1/Tabela816[[#This Row],[Variance total]]</f>
        <v>1520.3053291978079</v>
      </c>
      <c r="Z127" s="62">
        <f>Tabela816[[#This Row],[ESi ]]*Tabela816[[#This Row],[wi'']]</f>
        <v>20.282670845652756</v>
      </c>
    </row>
    <row r="128" spans="1:26" x14ac:dyDescent="0.2">
      <c r="A128" s="8" t="s">
        <v>149</v>
      </c>
      <c r="B128" s="9" t="s">
        <v>22</v>
      </c>
      <c r="C128" s="9" t="s">
        <v>46</v>
      </c>
      <c r="D128" s="10" t="s">
        <v>24</v>
      </c>
      <c r="E128" s="15" t="s">
        <v>6</v>
      </c>
      <c r="F128" s="22">
        <v>0.52987012987013005</v>
      </c>
      <c r="G128" s="12">
        <v>385</v>
      </c>
      <c r="H128" s="24">
        <f>ABS(Tabela58[[#This Row],[ESi(hh_total)]])/SQRT(0.25/Tabela58[[#This Row],[n_hh_total]])</f>
        <v>1.1721885403065457</v>
      </c>
      <c r="I128" s="22">
        <f>Tabela58[[#This Row],[%_females_hh_total]]-0.5</f>
        <v>2.9870129870130047E-2</v>
      </c>
      <c r="J128" s="21">
        <f>Tabela58[[#This Row],[%_females_hh_total]]*(1-Tabela58[[#This Row],[%_females_hh_total]])/Tabela58[[#This Row],[n_hh_total]]</f>
        <v>6.470331827053028E-4</v>
      </c>
      <c r="L128" s="8" t="s">
        <v>96</v>
      </c>
      <c r="M128" s="9" t="s">
        <v>13</v>
      </c>
      <c r="N128" s="2" t="s">
        <v>48</v>
      </c>
      <c r="O128" s="1">
        <f>VLOOKUP(Tabela816[[#This Row],[ID]],Tabela58[],9,0)</f>
        <v>-4.9968596471717253E-3</v>
      </c>
      <c r="P128" s="59">
        <f>VLOOKUP(Tabela816[[#This Row],[ID]],Tabela58[],10,0)</f>
        <v>2.9512990719441138E-4</v>
      </c>
      <c r="Q128" s="59">
        <f>Tabela816[[#This Row],[Variance]]</f>
        <v>2.9512990719441138E-4</v>
      </c>
      <c r="R128" s="60">
        <f>1/Tabela816[[#This Row],[Variance within]]</f>
        <v>3388.338408351372</v>
      </c>
      <c r="S128" s="61">
        <f>Tabela816[[#This Row],[ESi ]]*Tabela816[[#This Row],[wi]]</f>
        <v>-16.931051463653041</v>
      </c>
      <c r="T128" s="1">
        <f>Tabela816[[#This Row],[ESi ]]^2*Tabela816[[#This Row],[wi]]</f>
        <v>8.460208784291566E-2</v>
      </c>
      <c r="U128" s="60">
        <f>Tabela816[[#This Row],[wi]]^2</f>
        <v>11480837.169509109</v>
      </c>
      <c r="V128" s="59">
        <f>Tabela816[[#This Row],[Variance]]</f>
        <v>2.9512990719441138E-4</v>
      </c>
      <c r="W128" s="59">
        <f t="shared" si="2"/>
        <v>3.3034188455158129E-4</v>
      </c>
      <c r="X128" s="59">
        <f>Tabela816[[#This Row],[Variance within2]]+Tabela816[[#This Row],[Variance between]]</f>
        <v>6.2547179174599261E-4</v>
      </c>
      <c r="Y128" s="60">
        <f>1/Tabela816[[#This Row],[Variance total]]</f>
        <v>1598.7931241607539</v>
      </c>
      <c r="Z128" s="62">
        <f>Tabela816[[#This Row],[ESi ]]*Tabela816[[#This Row],[wi'']]</f>
        <v>-7.9889448462944852</v>
      </c>
    </row>
    <row r="129" spans="1:26" x14ac:dyDescent="0.2">
      <c r="A129" s="8" t="s">
        <v>150</v>
      </c>
      <c r="B129" s="9" t="s">
        <v>22</v>
      </c>
      <c r="C129" s="9" t="s">
        <v>46</v>
      </c>
      <c r="D129" s="10" t="s">
        <v>25</v>
      </c>
      <c r="E129" s="15" t="s">
        <v>6</v>
      </c>
      <c r="F129" s="22">
        <v>0.52459016393442648</v>
      </c>
      <c r="G129" s="12">
        <v>366</v>
      </c>
      <c r="H129" s="24">
        <f>ABS(Tabela58[[#This Row],[ESi(hh_total)]])/SQRT(0.25/Tabela58[[#This Row],[n_hh_total]])</f>
        <v>0.9408750722807796</v>
      </c>
      <c r="I129" s="22">
        <f>Tabela58[[#This Row],[%_females_hh_total]]-0.5</f>
        <v>2.4590163934426479E-2</v>
      </c>
      <c r="J129" s="21">
        <f>Tabela58[[#This Row],[%_females_hh_total]]*(1-Tabela58[[#This Row],[%_females_hh_total]])/Tabela58[[#This Row],[n_hh_total]]</f>
        <v>6.8140798862753561E-4</v>
      </c>
      <c r="L129" s="8" t="s">
        <v>97</v>
      </c>
      <c r="M129" s="9" t="s">
        <v>13</v>
      </c>
      <c r="N129" s="2" t="s">
        <v>48</v>
      </c>
      <c r="O129" s="1">
        <f>VLOOKUP(Tabela816[[#This Row],[ID]],Tabela58[],9,0)</f>
        <v>1.4090001576009259E-3</v>
      </c>
      <c r="P129" s="59">
        <f>VLOOKUP(Tabela816[[#This Row],[ID]],Tabela58[],10,0)</f>
        <v>2.9480897962093854E-4</v>
      </c>
      <c r="Q129" s="59">
        <f>Tabela816[[#This Row],[Variance]]</f>
        <v>2.9480897962093854E-4</v>
      </c>
      <c r="R129" s="60">
        <f>1/Tabela816[[#This Row],[Variance within]]</f>
        <v>3392.02693651254</v>
      </c>
      <c r="S129" s="61">
        <f>Tabela816[[#This Row],[ESi ]]*Tabela816[[#This Row],[wi]]</f>
        <v>4.7793664881327551</v>
      </c>
      <c r="T129" s="1">
        <f>Tabela816[[#This Row],[ESi ]]^2*Tabela816[[#This Row],[wi]]</f>
        <v>6.7341281350116354E-3</v>
      </c>
      <c r="U129" s="60">
        <f>Tabela816[[#This Row],[wi]]^2</f>
        <v>11505846.738026647</v>
      </c>
      <c r="V129" s="59">
        <f>Tabela816[[#This Row],[Variance]]</f>
        <v>2.9480897962093854E-4</v>
      </c>
      <c r="W129" s="59">
        <f t="shared" si="2"/>
        <v>3.3034188455158129E-4</v>
      </c>
      <c r="X129" s="59">
        <f>Tabela816[[#This Row],[Variance within2]]+Tabela816[[#This Row],[Variance between]]</f>
        <v>6.2515086417251988E-4</v>
      </c>
      <c r="Y129" s="60">
        <f>1/Tabela816[[#This Row],[Variance total]]</f>
        <v>1599.6138809208057</v>
      </c>
      <c r="Z129" s="62">
        <f>Tabela816[[#This Row],[ESi ]]*Tabela816[[#This Row],[wi'']]</f>
        <v>2.2538562103180442</v>
      </c>
    </row>
    <row r="130" spans="1:26" x14ac:dyDescent="0.2">
      <c r="A130" s="8" t="s">
        <v>151</v>
      </c>
      <c r="B130" s="9" t="s">
        <v>22</v>
      </c>
      <c r="C130" s="9" t="s">
        <v>46</v>
      </c>
      <c r="D130" s="10" t="s">
        <v>26</v>
      </c>
      <c r="E130" s="15" t="s">
        <v>6</v>
      </c>
      <c r="F130" s="22">
        <v>0.52605459057072068</v>
      </c>
      <c r="G130" s="12">
        <v>403</v>
      </c>
      <c r="H130" s="24">
        <f>ABS(Tabela58[[#This Row],[ESi(hh_total)]])/SQRT(0.25/Tabela58[[#This Row],[n_hh_total]])</f>
        <v>1.0460845109121508</v>
      </c>
      <c r="I130" s="22">
        <f>Tabela58[[#This Row],[%_females_hh_total]]-0.5</f>
        <v>2.6054590570720682E-2</v>
      </c>
      <c r="J130" s="21">
        <f>Tabela58[[#This Row],[%_females_hh_total]]*(1-Tabela58[[#This Row],[%_females_hh_total]])/Tabela58[[#This Row],[n_hh_total]]</f>
        <v>6.1866292384663056E-4</v>
      </c>
      <c r="L130" s="8" t="s">
        <v>175</v>
      </c>
      <c r="M130" s="9" t="s">
        <v>14</v>
      </c>
      <c r="N130" s="2" t="s">
        <v>48</v>
      </c>
      <c r="O130" s="1">
        <f>VLOOKUP(Tabela816[[#This Row],[ID]],Tabela58[],9,0)</f>
        <v>-6.8663875842804867E-3</v>
      </c>
      <c r="P130" s="59">
        <f>VLOOKUP(Tabela816[[#This Row],[ID]],Tabela58[],10,0)</f>
        <v>2.8053069890184338E-4</v>
      </c>
      <c r="Q130" s="59">
        <f>Tabela816[[#This Row],[Variance]]</f>
        <v>2.8053069890184338E-4</v>
      </c>
      <c r="R130" s="60">
        <f>1/Tabela816[[#This Row],[Variance within]]</f>
        <v>3564.6722583823034</v>
      </c>
      <c r="S130" s="61">
        <f>Tabela816[[#This Row],[ESi ]]*Tabela816[[#This Row],[wi]]</f>
        <v>-24.476421336985332</v>
      </c>
      <c r="T130" s="1">
        <f>Tabela816[[#This Row],[ESi ]]^2*Tabela816[[#This Row],[wi]]</f>
        <v>0.16806459557589407</v>
      </c>
      <c r="U130" s="60">
        <f>Tabela816[[#This Row],[wi]]^2</f>
        <v>12706888.309680391</v>
      </c>
      <c r="V130" s="59">
        <f>Tabela816[[#This Row],[Variance]]</f>
        <v>2.8053069890184338E-4</v>
      </c>
      <c r="W130" s="59">
        <f t="shared" si="2"/>
        <v>3.3034188455158129E-4</v>
      </c>
      <c r="X130" s="59">
        <f>Tabela816[[#This Row],[Variance within2]]+Tabela816[[#This Row],[Variance between]]</f>
        <v>6.1087258345342461E-4</v>
      </c>
      <c r="Y130" s="60">
        <f>1/Tabela816[[#This Row],[Variance total]]</f>
        <v>1637.002587915691</v>
      </c>
      <c r="Z130" s="62">
        <f>Tabela816[[#This Row],[ESi ]]*Tabela816[[#This Row],[wi'']]</f>
        <v>-11.240294245099326</v>
      </c>
    </row>
    <row r="131" spans="1:26" x14ac:dyDescent="0.2">
      <c r="A131" s="8" t="s">
        <v>152</v>
      </c>
      <c r="B131" s="9" t="s">
        <v>22</v>
      </c>
      <c r="C131" s="9" t="s">
        <v>46</v>
      </c>
      <c r="D131" s="10" t="s">
        <v>27</v>
      </c>
      <c r="E131" s="15" t="s">
        <v>6</v>
      </c>
      <c r="F131" s="22">
        <v>0.4758269720101781</v>
      </c>
      <c r="G131" s="12">
        <v>393</v>
      </c>
      <c r="H131" s="24">
        <f>ABS(Tabela58[[#This Row],[ESi(hh_total)]])/SQRT(0.25/Tabela58[[#This Row],[n_hh_total]])</f>
        <v>0.95842321738010561</v>
      </c>
      <c r="I131" s="22">
        <f>Tabela58[[#This Row],[%_females_hh_total]]-0.5</f>
        <v>-2.4173027989821905E-2</v>
      </c>
      <c r="J131" s="21">
        <f>Tabela58[[#This Row],[%_females_hh_total]]*(1-Tabela58[[#This Row],[%_females_hh_total]])/Tabela58[[#This Row],[n_hh_total]]</f>
        <v>6.3464545729720941E-4</v>
      </c>
      <c r="L131" s="8" t="s">
        <v>176</v>
      </c>
      <c r="M131" s="9" t="s">
        <v>14</v>
      </c>
      <c r="N131" s="2" t="s">
        <v>48</v>
      </c>
      <c r="O131" s="1">
        <f>VLOOKUP(Tabela816[[#This Row],[ID]],Tabela58[],9,0)</f>
        <v>-6.9208814960752263E-3</v>
      </c>
      <c r="P131" s="59">
        <f>VLOOKUP(Tabela816[[#This Row],[ID]],Tabela58[],10,0)</f>
        <v>3.1760114536126722E-4</v>
      </c>
      <c r="Q131" s="59">
        <f>Tabela816[[#This Row],[Variance]]</f>
        <v>3.1760114536126722E-4</v>
      </c>
      <c r="R131" s="60">
        <f>1/Tabela816[[#This Row],[Variance within]]</f>
        <v>3148.6032547600321</v>
      </c>
      <c r="S131" s="61">
        <f>Tabela816[[#This Row],[ESi ]]*Tabela816[[#This Row],[wi]]</f>
        <v>-21.791110004350937</v>
      </c>
      <c r="T131" s="1">
        <f>Tabela816[[#This Row],[ESi ]]^2*Tabela816[[#This Row],[wi]]</f>
        <v>0.15081369000805217</v>
      </c>
      <c r="U131" s="60">
        <f>Tabela816[[#This Row],[wi]]^2</f>
        <v>9913702.4558854681</v>
      </c>
      <c r="V131" s="59">
        <f>Tabela816[[#This Row],[Variance]]</f>
        <v>3.1760114536126722E-4</v>
      </c>
      <c r="W131" s="59">
        <f t="shared" si="2"/>
        <v>3.3034188455158129E-4</v>
      </c>
      <c r="X131" s="59">
        <f>Tabela816[[#This Row],[Variance within2]]+Tabela816[[#This Row],[Variance between]]</f>
        <v>6.4794302991284846E-4</v>
      </c>
      <c r="Y131" s="60">
        <f>1/Tabela816[[#This Row],[Variance total]]</f>
        <v>1543.3455625481533</v>
      </c>
      <c r="Z131" s="62">
        <f>Tabela816[[#This Row],[ESi ]]*Tabela816[[#This Row],[wi'']]</f>
        <v>-10.681311745889325</v>
      </c>
    </row>
    <row r="132" spans="1:26" x14ac:dyDescent="0.2">
      <c r="A132" s="16" t="s">
        <v>153</v>
      </c>
      <c r="B132" s="17" t="s">
        <v>22</v>
      </c>
      <c r="C132" s="17" t="s">
        <v>46</v>
      </c>
      <c r="D132" s="18" t="s">
        <v>47</v>
      </c>
      <c r="E132" s="19" t="s">
        <v>6</v>
      </c>
      <c r="F132" s="23">
        <v>0.52038369304556364</v>
      </c>
      <c r="G132" s="20">
        <v>417</v>
      </c>
      <c r="H132" s="25">
        <f>ABS(Tabela58[[#This Row],[ESi(hh_total)]])/SQRT(0.25/Tabela58[[#This Row],[n_hh_total]])</f>
        <v>0.83249358168646992</v>
      </c>
      <c r="I132" s="23">
        <f>Tabela58[[#This Row],[%_females_hh_total]]-0.5</f>
        <v>2.0383693045563644E-2</v>
      </c>
      <c r="J132" s="21">
        <f>Tabela58[[#This Row],[%_females_hh_total]]*(1-Tabela58[[#This Row],[%_females_hh_total]])/Tabela58[[#This Row],[n_hh_total]]</f>
        <v>5.9852399294442265E-4</v>
      </c>
      <c r="L132" s="8" t="s">
        <v>177</v>
      </c>
      <c r="M132" s="9" t="s">
        <v>14</v>
      </c>
      <c r="N132" s="2" t="s">
        <v>48</v>
      </c>
      <c r="O132" s="1">
        <f>VLOOKUP(Tabela816[[#This Row],[ID]],Tabela58[],9,0)</f>
        <v>1.3711368191242856E-2</v>
      </c>
      <c r="P132" s="59">
        <f>VLOOKUP(Tabela816[[#This Row],[ID]],Tabela58[],10,0)</f>
        <v>2.5056368945067622E-4</v>
      </c>
      <c r="Q132" s="59">
        <f>Tabela816[[#This Row],[Variance]]</f>
        <v>2.5056368945067622E-4</v>
      </c>
      <c r="R132" s="60">
        <f>1/Tabela816[[#This Row],[Variance within]]</f>
        <v>3991.0012587711808</v>
      </c>
      <c r="S132" s="61">
        <f>Tabela816[[#This Row],[ESi ]]*Tabela816[[#This Row],[wi]]</f>
        <v>54.722087710725368</v>
      </c>
      <c r="T132" s="1">
        <f>Tabela816[[#This Row],[ESi ]]^2*Tabela816[[#This Row],[wi]]</f>
        <v>0.75031469279524143</v>
      </c>
      <c r="U132" s="60">
        <f>Tabela816[[#This Row],[wi]]^2</f>
        <v>15928091.04751315</v>
      </c>
      <c r="V132" s="59">
        <f>Tabela816[[#This Row],[Variance]]</f>
        <v>2.5056368945067622E-4</v>
      </c>
      <c r="W132" s="59">
        <f t="shared" si="2"/>
        <v>3.3034188455158129E-4</v>
      </c>
      <c r="X132" s="59">
        <f>Tabela816[[#This Row],[Variance within2]]+Tabela816[[#This Row],[Variance between]]</f>
        <v>5.8090557400225745E-4</v>
      </c>
      <c r="Y132" s="60">
        <f>1/Tabela816[[#This Row],[Variance total]]</f>
        <v>1721.4501715146459</v>
      </c>
      <c r="Z132" s="62">
        <f>Tabela816[[#This Row],[ESi ]]*Tabela816[[#This Row],[wi'']]</f>
        <v>23.603437124515477</v>
      </c>
    </row>
    <row r="133" spans="1:26" x14ac:dyDescent="0.2">
      <c r="L133" s="8" t="s">
        <v>178</v>
      </c>
      <c r="M133" s="9" t="s">
        <v>14</v>
      </c>
      <c r="N133" s="2" t="s">
        <v>48</v>
      </c>
      <c r="O133" s="1">
        <f>VLOOKUP(Tabela816[[#This Row],[ID]],Tabela58[],9,0)</f>
        <v>-1.3655974878802934E-2</v>
      </c>
      <c r="P133" s="59">
        <f>VLOOKUP(Tabela816[[#This Row],[ID]],Tabela58[],10,0)</f>
        <v>2.6240915372910666E-4</v>
      </c>
      <c r="Q133" s="59">
        <f>Tabela816[[#This Row],[Variance]]</f>
        <v>2.6240915372910666E-4</v>
      </c>
      <c r="R133" s="60">
        <f>1/Tabela816[[#This Row],[Variance within]]</f>
        <v>3810.842669887697</v>
      </c>
      <c r="S133" s="61">
        <f>Tabela816[[#This Row],[ESi ]]*Tabela816[[#This Row],[wi]]</f>
        <v>-52.040771767056697</v>
      </c>
      <c r="T133" s="1">
        <f>Tabela816[[#This Row],[ESi ]]^2*Tabela816[[#This Row],[wi]]</f>
        <v>0.71066747192444324</v>
      </c>
      <c r="U133" s="60">
        <f>Tabela816[[#This Row],[wi]]^2</f>
        <v>14522521.85463679</v>
      </c>
      <c r="V133" s="59">
        <f>Tabela816[[#This Row],[Variance]]</f>
        <v>2.6240915372910666E-4</v>
      </c>
      <c r="W133" s="59">
        <f t="shared" si="2"/>
        <v>3.3034188455158129E-4</v>
      </c>
      <c r="X133" s="59">
        <f>Tabela816[[#This Row],[Variance within2]]+Tabela816[[#This Row],[Variance between]]</f>
        <v>5.9275103828068795E-4</v>
      </c>
      <c r="Y133" s="60">
        <f>1/Tabela816[[#This Row],[Variance total]]</f>
        <v>1687.0489217540023</v>
      </c>
      <c r="Z133" s="62">
        <f>Tabela816[[#This Row],[ESi ]]*Tabela816[[#This Row],[wi'']]</f>
        <v>-23.038297694784234</v>
      </c>
    </row>
    <row r="134" spans="1:26" x14ac:dyDescent="0.2">
      <c r="L134" s="8" t="s">
        <v>179</v>
      </c>
      <c r="M134" s="9" t="s">
        <v>14</v>
      </c>
      <c r="N134" s="2" t="s">
        <v>48</v>
      </c>
      <c r="O134" s="1">
        <f>VLOOKUP(Tabela816[[#This Row],[ID]],Tabela58[],9,0)</f>
        <v>3.2538499751615158E-2</v>
      </c>
      <c r="P134" s="59">
        <f>VLOOKUP(Tabela816[[#This Row],[ID]],Tabela58[],10,0)</f>
        <v>2.4794944824095035E-4</v>
      </c>
      <c r="Q134" s="59">
        <f>Tabela816[[#This Row],[Variance]]</f>
        <v>2.4794944824095035E-4</v>
      </c>
      <c r="R134" s="60">
        <f>1/Tabela816[[#This Row],[Variance within]]</f>
        <v>4033.0801584532178</v>
      </c>
      <c r="S134" s="61">
        <f>Tabela816[[#This Row],[ESi ]]*Tabela816[[#This Row],[wi]]</f>
        <v>131.23037773407404</v>
      </c>
      <c r="T134" s="1">
        <f>Tabela816[[#This Row],[ESi ]]^2*Tabela816[[#This Row],[wi]]</f>
        <v>4.2700396133045322</v>
      </c>
      <c r="U134" s="60">
        <f>Tabela816[[#This Row],[wi]]^2</f>
        <v>16265735.564509032</v>
      </c>
      <c r="V134" s="59">
        <f>Tabela816[[#This Row],[Variance]]</f>
        <v>2.4794944824095035E-4</v>
      </c>
      <c r="W134" s="59">
        <f t="shared" si="2"/>
        <v>3.3034188455158129E-4</v>
      </c>
      <c r="X134" s="59">
        <f>Tabela816[[#This Row],[Variance within2]]+Tabela816[[#This Row],[Variance between]]</f>
        <v>5.7829133279253169E-4</v>
      </c>
      <c r="Y134" s="60">
        <f>1/Tabela816[[#This Row],[Variance total]]</f>
        <v>1729.2322109879535</v>
      </c>
      <c r="Z134" s="62">
        <f>Tabela816[[#This Row],[ESi ]]*Tabela816[[#This Row],[wi'']]</f>
        <v>56.266621867716452</v>
      </c>
    </row>
    <row r="135" spans="1:26" x14ac:dyDescent="0.2">
      <c r="L135" s="8" t="s">
        <v>180</v>
      </c>
      <c r="M135" s="9" t="s">
        <v>14</v>
      </c>
      <c r="N135" s="2" t="s">
        <v>48</v>
      </c>
      <c r="O135" s="1">
        <f>VLOOKUP(Tabela816[[#This Row],[ID]],Tabela58[],9,0)</f>
        <v>2.5036061136144205E-2</v>
      </c>
      <c r="P135" s="59">
        <f>VLOOKUP(Tabela816[[#This Row],[ID]],Tabela58[],10,0)</f>
        <v>2.6416652080803735E-4</v>
      </c>
      <c r="Q135" s="59">
        <f>Tabela816[[#This Row],[Variance]]</f>
        <v>2.6416652080803735E-4</v>
      </c>
      <c r="R135" s="60">
        <f>1/Tabela816[[#This Row],[Variance within]]</f>
        <v>3785.4910491351511</v>
      </c>
      <c r="S135" s="61">
        <f>Tabela816[[#This Row],[ESi ]]*Tabela816[[#This Row],[wi]]</f>
        <v>94.773785336474305</v>
      </c>
      <c r="T135" s="1">
        <f>Tabela816[[#This Row],[ESi ]]^2*Tabela816[[#This Row],[wi]]</f>
        <v>2.372762283787778</v>
      </c>
      <c r="U135" s="60">
        <f>Tabela816[[#This Row],[wi]]^2</f>
        <v>14329942.483082347</v>
      </c>
      <c r="V135" s="59">
        <f>Tabela816[[#This Row],[Variance]]</f>
        <v>2.6416652080803735E-4</v>
      </c>
      <c r="W135" s="59">
        <f t="shared" si="2"/>
        <v>3.3034188455158129E-4</v>
      </c>
      <c r="X135" s="59">
        <f>Tabela816[[#This Row],[Variance within2]]+Tabela816[[#This Row],[Variance between]]</f>
        <v>5.9450840535961859E-4</v>
      </c>
      <c r="Y135" s="60">
        <f>1/Tabela816[[#This Row],[Variance total]]</f>
        <v>1682.062004480995</v>
      </c>
      <c r="Z135" s="62">
        <f>Tabela816[[#This Row],[ESi ]]*Tabela816[[#This Row],[wi'']]</f>
        <v>42.11220717897146</v>
      </c>
    </row>
    <row r="136" spans="1:26" x14ac:dyDescent="0.2">
      <c r="L136" s="8" t="s">
        <v>181</v>
      </c>
      <c r="M136" s="9" t="s">
        <v>14</v>
      </c>
      <c r="N136" s="2" t="s">
        <v>48</v>
      </c>
      <c r="O136" s="1">
        <f>VLOOKUP(Tabela816[[#This Row],[ID]],Tabela58[],9,0)</f>
        <v>1.9938348054126309E-2</v>
      </c>
      <c r="P136" s="59">
        <f>VLOOKUP(Tabela816[[#This Row],[ID]],Tabela58[],10,0)</f>
        <v>2.6954909533139583E-4</v>
      </c>
      <c r="Q136" s="59">
        <f>Tabela816[[#This Row],[Variance]]</f>
        <v>2.6954909533139583E-4</v>
      </c>
      <c r="R136" s="60">
        <f>1/Tabela816[[#This Row],[Variance within]]</f>
        <v>3709.8992996825118</v>
      </c>
      <c r="S136" s="61">
        <f>Tabela816[[#This Row],[ESi ]]*Tabela816[[#This Row],[wi]]</f>
        <v>73.969263482829362</v>
      </c>
      <c r="T136" s="1">
        <f>Tabela816[[#This Row],[ESi ]]^2*Tabela816[[#This Row],[wi]]</f>
        <v>1.4748249206280271</v>
      </c>
      <c r="U136" s="60">
        <f>Tabela816[[#This Row],[wi]]^2</f>
        <v>13763352.813784791</v>
      </c>
      <c r="V136" s="59">
        <f>Tabela816[[#This Row],[Variance]]</f>
        <v>2.6954909533139583E-4</v>
      </c>
      <c r="W136" s="59">
        <f t="shared" si="2"/>
        <v>3.3034188455158129E-4</v>
      </c>
      <c r="X136" s="59">
        <f>Tabela816[[#This Row],[Variance within2]]+Tabela816[[#This Row],[Variance between]]</f>
        <v>5.9989097988297712E-4</v>
      </c>
      <c r="Y136" s="60">
        <f>1/Tabela816[[#This Row],[Variance total]]</f>
        <v>1666.9695553599981</v>
      </c>
      <c r="Z136" s="62">
        <f>Tabela816[[#This Row],[ESi ]]*Tabela816[[#This Row],[wi'']]</f>
        <v>33.236619190399814</v>
      </c>
    </row>
    <row r="137" spans="1:26" x14ac:dyDescent="0.2">
      <c r="L137" s="8" t="s">
        <v>107</v>
      </c>
      <c r="M137" s="9" t="s">
        <v>15</v>
      </c>
      <c r="N137" s="2" t="s">
        <v>48</v>
      </c>
      <c r="O137" s="1">
        <f>VLOOKUP(Tabela816[[#This Row],[ID]],Tabela58[],9,0)</f>
        <v>1.6442820596134555E-2</v>
      </c>
      <c r="P137" s="59">
        <f>VLOOKUP(Tabela816[[#This Row],[ID]],Tabela58[],10,0)</f>
        <v>4.8117463131183686E-4</v>
      </c>
      <c r="Q137" s="59">
        <f>Tabela816[[#This Row],[Variance]]</f>
        <v>4.8117463131183686E-4</v>
      </c>
      <c r="R137" s="60">
        <f>1/Tabela816[[#This Row],[Variance within]]</f>
        <v>2078.2475528139926</v>
      </c>
      <c r="S137" s="61">
        <f>Tabela816[[#This Row],[ESi ]]*Tabela816[[#This Row],[wi]]</f>
        <v>34.172251665276157</v>
      </c>
      <c r="T137" s="1">
        <f>Tabela816[[#This Row],[ESi ]]^2*Tabela816[[#This Row],[wi]]</f>
        <v>0.56188820349809609</v>
      </c>
      <c r="U137" s="60">
        <f>Tabela816[[#This Row],[wi]]^2</f>
        <v>4319112.8907773485</v>
      </c>
      <c r="V137" s="59">
        <f>Tabela816[[#This Row],[Variance]]</f>
        <v>4.8117463131183686E-4</v>
      </c>
      <c r="W137" s="59">
        <f t="shared" si="2"/>
        <v>3.3034188455158129E-4</v>
      </c>
      <c r="X137" s="59">
        <f>Tabela816[[#This Row],[Variance within2]]+Tabela816[[#This Row],[Variance between]]</f>
        <v>8.1151651586341815E-4</v>
      </c>
      <c r="Y137" s="60">
        <f>1/Tabela816[[#This Row],[Variance total]]</f>
        <v>1232.2608110274177</v>
      </c>
      <c r="Z137" s="62">
        <f>Tabela816[[#This Row],[ESi ]]*Tabela816[[#This Row],[wi'']]</f>
        <v>20.261843443371095</v>
      </c>
    </row>
    <row r="138" spans="1:26" x14ac:dyDescent="0.2">
      <c r="L138" s="8" t="s">
        <v>112</v>
      </c>
      <c r="M138" s="9" t="s">
        <v>16</v>
      </c>
      <c r="N138" s="2" t="s">
        <v>48</v>
      </c>
      <c r="O138" s="1">
        <f>VLOOKUP(Tabela816[[#This Row],[ID]],Tabela58[],9,0)</f>
        <v>2.5125628140703293E-2</v>
      </c>
      <c r="P138" s="59">
        <f>VLOOKUP(Tabela816[[#This Row],[ID]],Tabela58[],10,0)</f>
        <v>3.7612172369613138E-4</v>
      </c>
      <c r="Q138" s="59">
        <f>Tabela816[[#This Row],[Variance]]</f>
        <v>3.7612172369613138E-4</v>
      </c>
      <c r="R138" s="60">
        <f>1/Tabela816[[#This Row],[Variance within]]</f>
        <v>2658.713754082175</v>
      </c>
      <c r="S138" s="61">
        <f>Tabela816[[#This Row],[ESi ]]*Tabela816[[#This Row],[wi]]</f>
        <v>66.801853117641997</v>
      </c>
      <c r="T138" s="1">
        <f>Tabela816[[#This Row],[ESi ]]^2*Tabela816[[#This Row],[wi]]</f>
        <v>1.6784385205437535</v>
      </c>
      <c r="U138" s="60">
        <f>Tabela816[[#This Row],[wi]]^2</f>
        <v>7068758.8261457318</v>
      </c>
      <c r="V138" s="59">
        <f>Tabela816[[#This Row],[Variance]]</f>
        <v>3.7612172369613138E-4</v>
      </c>
      <c r="W138" s="59">
        <f t="shared" ref="W138:W158" si="3">$U$167</f>
        <v>3.3034188455158129E-4</v>
      </c>
      <c r="X138" s="59">
        <f>Tabela816[[#This Row],[Variance within2]]+Tabela816[[#This Row],[Variance between]]</f>
        <v>7.0646360824771267E-4</v>
      </c>
      <c r="Y138" s="60">
        <f>1/Tabela816[[#This Row],[Variance total]]</f>
        <v>1415.5010793554738</v>
      </c>
      <c r="Z138" s="62">
        <f>Tabela816[[#This Row],[ESi ]]*Tabela816[[#This Row],[wi'']]</f>
        <v>35.565353752649777</v>
      </c>
    </row>
    <row r="139" spans="1:26" x14ac:dyDescent="0.2">
      <c r="L139" s="8" t="s">
        <v>113</v>
      </c>
      <c r="M139" s="9" t="s">
        <v>16</v>
      </c>
      <c r="N139" s="2" t="s">
        <v>48</v>
      </c>
      <c r="O139" s="1">
        <f>VLOOKUP(Tabela816[[#This Row],[ID]],Tabela58[],9,0)</f>
        <v>6.4390916397590092E-2</v>
      </c>
      <c r="P139" s="59">
        <f>VLOOKUP(Tabela816[[#This Row],[ID]],Tabela58[],10,0)</f>
        <v>3.2649908351325171E-4</v>
      </c>
      <c r="Q139" s="59">
        <f>Tabela816[[#This Row],[Variance]]</f>
        <v>3.2649908351325171E-4</v>
      </c>
      <c r="R139" s="60">
        <f>1/Tabela816[[#This Row],[Variance within]]</f>
        <v>3062.7957335733613</v>
      </c>
      <c r="S139" s="61">
        <f>Tabela816[[#This Row],[ESi ]]*Tabela816[[#This Row],[wi]]</f>
        <v>197.21622402341794</v>
      </c>
      <c r="T139" s="1">
        <f>Tabela816[[#This Row],[ESi ]]^2*Tabela816[[#This Row],[wi]]</f>
        <v>12.698933393340303</v>
      </c>
      <c r="U139" s="60">
        <f>Tabela816[[#This Row],[wi]]^2</f>
        <v>9380717.7055951841</v>
      </c>
      <c r="V139" s="59">
        <f>Tabela816[[#This Row],[Variance]]</f>
        <v>3.2649908351325171E-4</v>
      </c>
      <c r="W139" s="59">
        <f t="shared" si="3"/>
        <v>3.3034188455158129E-4</v>
      </c>
      <c r="X139" s="59">
        <f>Tabela816[[#This Row],[Variance within2]]+Tabela816[[#This Row],[Variance between]]</f>
        <v>6.5684096806483305E-4</v>
      </c>
      <c r="Y139" s="60">
        <f>1/Tabela816[[#This Row],[Variance total]]</f>
        <v>1522.4385332513177</v>
      </c>
      <c r="Z139" s="62">
        <f>Tabela816[[#This Row],[ESi ]]*Tabela816[[#This Row],[wi'']]</f>
        <v>98.031212315055285</v>
      </c>
    </row>
    <row r="140" spans="1:26" x14ac:dyDescent="0.2">
      <c r="L140" s="8" t="s">
        <v>114</v>
      </c>
      <c r="M140" s="9" t="s">
        <v>16</v>
      </c>
      <c r="N140" s="2" t="s">
        <v>48</v>
      </c>
      <c r="O140" s="1">
        <f>VLOOKUP(Tabela816[[#This Row],[ID]],Tabela58[],9,0)</f>
        <v>3.0478193220196514E-2</v>
      </c>
      <c r="P140" s="59">
        <f>VLOOKUP(Tabela816[[#This Row],[ID]],Tabela58[],10,0)</f>
        <v>4.0302763711655724E-4</v>
      </c>
      <c r="Q140" s="59">
        <f>Tabela816[[#This Row],[Variance]]</f>
        <v>4.0302763711655724E-4</v>
      </c>
      <c r="R140" s="60">
        <f>1/Tabela816[[#This Row],[Variance within]]</f>
        <v>2481.2194199744072</v>
      </c>
      <c r="S140" s="61">
        <f>Tabela816[[#This Row],[ESi ]]*Tabela816[[#This Row],[wi]]</f>
        <v>75.623084903683903</v>
      </c>
      <c r="T140" s="1">
        <f>Tabela816[[#This Row],[ESi ]]^2*Tabela816[[#This Row],[wi]]</f>
        <v>2.3048549936018041</v>
      </c>
      <c r="U140" s="60">
        <f>Tabela816[[#This Row],[wi]]^2</f>
        <v>6156449.8100581337</v>
      </c>
      <c r="V140" s="59">
        <f>Tabela816[[#This Row],[Variance]]</f>
        <v>4.0302763711655724E-4</v>
      </c>
      <c r="W140" s="59">
        <f t="shared" si="3"/>
        <v>3.3034188455158129E-4</v>
      </c>
      <c r="X140" s="59">
        <f>Tabela816[[#This Row],[Variance within2]]+Tabela816[[#This Row],[Variance between]]</f>
        <v>7.3336952166813858E-4</v>
      </c>
      <c r="Y140" s="60">
        <f>1/Tabela816[[#This Row],[Variance total]]</f>
        <v>1363.5690745988159</v>
      </c>
      <c r="Z140" s="62">
        <f>Tabela816[[#This Row],[ESi ]]*Tabela816[[#This Row],[wi'']]</f>
        <v>41.559121724707268</v>
      </c>
    </row>
    <row r="141" spans="1:26" x14ac:dyDescent="0.2">
      <c r="L141" s="8" t="s">
        <v>115</v>
      </c>
      <c r="M141" s="9" t="s">
        <v>16</v>
      </c>
      <c r="N141" s="2" t="s">
        <v>48</v>
      </c>
      <c r="O141" s="1">
        <f>VLOOKUP(Tabela816[[#This Row],[ID]],Tabela58[],9,0)</f>
        <v>2.2189727189477315E-2</v>
      </c>
      <c r="P141" s="59">
        <f>VLOOKUP(Tabela816[[#This Row],[ID]],Tabela58[],10,0)</f>
        <v>3.6531129722877973E-4</v>
      </c>
      <c r="Q141" s="59">
        <f>Tabela816[[#This Row],[Variance]]</f>
        <v>3.6531129722877973E-4</v>
      </c>
      <c r="R141" s="60">
        <f>1/Tabela816[[#This Row],[Variance within]]</f>
        <v>2737.3913908108357</v>
      </c>
      <c r="S141" s="61">
        <f>Tabela816[[#This Row],[ESi ]]*Tabela816[[#This Row],[wi]]</f>
        <v>60.741968172916323</v>
      </c>
      <c r="T141" s="1">
        <f>Tabela816[[#This Row],[ESi ]]^2*Tabela816[[#This Row],[wi]]</f>
        <v>1.3478477027089271</v>
      </c>
      <c r="U141" s="60">
        <f>Tabela816[[#This Row],[wi]]^2</f>
        <v>7493311.6264852816</v>
      </c>
      <c r="V141" s="59">
        <f>Tabela816[[#This Row],[Variance]]</f>
        <v>3.6531129722877973E-4</v>
      </c>
      <c r="W141" s="59">
        <f t="shared" si="3"/>
        <v>3.3034188455158129E-4</v>
      </c>
      <c r="X141" s="59">
        <f>Tabela816[[#This Row],[Variance within2]]+Tabela816[[#This Row],[Variance between]]</f>
        <v>6.9565318178036102E-4</v>
      </c>
      <c r="Y141" s="60">
        <f>1/Tabela816[[#This Row],[Variance total]]</f>
        <v>1437.4979173396932</v>
      </c>
      <c r="Z141" s="62">
        <f>Tabela816[[#This Row],[ESi ]]*Tabela816[[#This Row],[wi'']]</f>
        <v>31.897686621209605</v>
      </c>
    </row>
    <row r="142" spans="1:26" x14ac:dyDescent="0.2">
      <c r="L142" s="8" t="s">
        <v>116</v>
      </c>
      <c r="M142" s="9" t="s">
        <v>16</v>
      </c>
      <c r="N142" s="2" t="s">
        <v>48</v>
      </c>
      <c r="O142" s="1">
        <f>VLOOKUP(Tabela816[[#This Row],[ID]],Tabela58[],9,0)</f>
        <v>5.9009786989066226E-2</v>
      </c>
      <c r="P142" s="59">
        <f>VLOOKUP(Tabela816[[#This Row],[ID]],Tabela58[],10,0)</f>
        <v>2.8698235743830619E-4</v>
      </c>
      <c r="Q142" s="59">
        <f>Tabela816[[#This Row],[Variance]]</f>
        <v>2.8698235743830619E-4</v>
      </c>
      <c r="R142" s="60">
        <f>1/Tabela816[[#This Row],[Variance within]]</f>
        <v>3484.5347599981792</v>
      </c>
      <c r="S142" s="61">
        <f>Tabela816[[#This Row],[ESi ]]*Tabela816[[#This Row],[wi]]</f>
        <v>205.62165394348955</v>
      </c>
      <c r="T142" s="1">
        <f>Tabela816[[#This Row],[ESi ]]^2*Tabela816[[#This Row],[wi]]</f>
        <v>12.133689999544808</v>
      </c>
      <c r="U142" s="60">
        <f>Tabela816[[#This Row],[wi]]^2</f>
        <v>12141982.493635569</v>
      </c>
      <c r="V142" s="59">
        <f>Tabela816[[#This Row],[Variance]]</f>
        <v>2.8698235743830619E-4</v>
      </c>
      <c r="W142" s="59">
        <f t="shared" si="3"/>
        <v>3.3034188455158129E-4</v>
      </c>
      <c r="X142" s="59">
        <f>Tabela816[[#This Row],[Variance within2]]+Tabela816[[#This Row],[Variance between]]</f>
        <v>6.1732424198988748E-4</v>
      </c>
      <c r="Y142" s="60">
        <f>1/Tabela816[[#This Row],[Variance total]]</f>
        <v>1619.8942662231968</v>
      </c>
      <c r="Z142" s="62">
        <f>Tabela816[[#This Row],[ESi ]]*Tabela816[[#This Row],[wi'']]</f>
        <v>95.589615594640577</v>
      </c>
    </row>
    <row r="143" spans="1:26" x14ac:dyDescent="0.2">
      <c r="L143" s="8" t="s">
        <v>117</v>
      </c>
      <c r="M143" s="9" t="s">
        <v>16</v>
      </c>
      <c r="N143" s="2" t="s">
        <v>48</v>
      </c>
      <c r="O143" s="1">
        <f>VLOOKUP(Tabela816[[#This Row],[ID]],Tabela58[],9,0)</f>
        <v>1.2158808933002585E-2</v>
      </c>
      <c r="P143" s="59">
        <f>VLOOKUP(Tabela816[[#This Row],[ID]],Tabela58[],10,0)</f>
        <v>2.4836199141682977E-4</v>
      </c>
      <c r="Q143" s="59">
        <f>Tabela816[[#This Row],[Variance]]</f>
        <v>2.4836199141682977E-4</v>
      </c>
      <c r="R143" s="60">
        <f>1/Tabela816[[#This Row],[Variance within]]</f>
        <v>4026.3809864597379</v>
      </c>
      <c r="S143" s="61">
        <f>Tabela816[[#This Row],[ESi ]]*Tabela816[[#This Row],[wi]]</f>
        <v>48.955997105838421</v>
      </c>
      <c r="T143" s="1">
        <f>Tabela816[[#This Row],[ESi ]]^2*Tabela816[[#This Row],[wi]]</f>
        <v>0.59524661493451692</v>
      </c>
      <c r="U143" s="60">
        <f>Tabela816[[#This Row],[wi]]^2</f>
        <v>16211743.848124491</v>
      </c>
      <c r="V143" s="59">
        <f>Tabela816[[#This Row],[Variance]]</f>
        <v>2.4836199141682977E-4</v>
      </c>
      <c r="W143" s="59">
        <f t="shared" si="3"/>
        <v>3.3034188455158129E-4</v>
      </c>
      <c r="X143" s="59">
        <f>Tabela816[[#This Row],[Variance within2]]+Tabela816[[#This Row],[Variance between]]</f>
        <v>5.7870387596841105E-4</v>
      </c>
      <c r="Y143" s="60">
        <f>1/Tabela816[[#This Row],[Variance total]]</f>
        <v>1727.9994856204933</v>
      </c>
      <c r="Z143" s="62">
        <f>Tabela816[[#This Row],[ESi ]]*Tabela816[[#This Row],[wi'']]</f>
        <v>21.010415581986326</v>
      </c>
    </row>
    <row r="144" spans="1:26" x14ac:dyDescent="0.2">
      <c r="L144" s="8" t="s">
        <v>118</v>
      </c>
      <c r="M144" s="9" t="s">
        <v>16</v>
      </c>
      <c r="N144" s="2" t="s">
        <v>48</v>
      </c>
      <c r="O144" s="1">
        <f>VLOOKUP(Tabela816[[#This Row],[ID]],Tabela58[],9,0)</f>
        <v>2.1895620875824418E-2</v>
      </c>
      <c r="P144" s="59">
        <f>VLOOKUP(Tabela816[[#This Row],[ID]],Tabela58[],10,0)</f>
        <v>2.9990454541642088E-4</v>
      </c>
      <c r="Q144" s="59">
        <f>Tabela816[[#This Row],[Variance]]</f>
        <v>2.9990454541642088E-4</v>
      </c>
      <c r="R144" s="60">
        <f>1/Tabela816[[#This Row],[Variance within]]</f>
        <v>3334.3942773907897</v>
      </c>
      <c r="S144" s="61">
        <f>Tabela816[[#This Row],[ESi ]]*Tabela816[[#This Row],[wi]]</f>
        <v>73.008632948267248</v>
      </c>
      <c r="T144" s="1">
        <f>Tabela816[[#This Row],[ESi ]]^2*Tabela816[[#This Row],[wi]]</f>
        <v>1.5985693476974827</v>
      </c>
      <c r="U144" s="60">
        <f>Tabela816[[#This Row],[wi]]^2</f>
        <v>11118185.197096447</v>
      </c>
      <c r="V144" s="59">
        <f>Tabela816[[#This Row],[Variance]]</f>
        <v>2.9990454541642088E-4</v>
      </c>
      <c r="W144" s="59">
        <f t="shared" si="3"/>
        <v>3.3034188455158129E-4</v>
      </c>
      <c r="X144" s="59">
        <f>Tabela816[[#This Row],[Variance within2]]+Tabela816[[#This Row],[Variance between]]</f>
        <v>6.3024642996800217E-4</v>
      </c>
      <c r="Y144" s="60">
        <f>1/Tabela816[[#This Row],[Variance total]]</f>
        <v>1586.680943279235</v>
      </c>
      <c r="Z144" s="62">
        <f>Tabela816[[#This Row],[ESi ]]*Tabela816[[#This Row],[wi'']]</f>
        <v>34.741364384937597</v>
      </c>
    </row>
    <row r="145" spans="12:26" x14ac:dyDescent="0.2">
      <c r="L145" s="8" t="s">
        <v>119</v>
      </c>
      <c r="M145" s="9" t="s">
        <v>17</v>
      </c>
      <c r="N145" s="2" t="s">
        <v>48</v>
      </c>
      <c r="O145" s="1">
        <f>VLOOKUP(Tabela816[[#This Row],[ID]],Tabela58[],9,0)</f>
        <v>2.7910685805421553E-2</v>
      </c>
      <c r="P145" s="59">
        <f>VLOOKUP(Tabela816[[#This Row],[ID]],Tabela58[],10,0)</f>
        <v>1.9874082425667546E-4</v>
      </c>
      <c r="Q145" s="59">
        <f>Tabela816[[#This Row],[Variance]]</f>
        <v>1.9874082425667546E-4</v>
      </c>
      <c r="R145" s="60">
        <f>1/Tabela816[[#This Row],[Variance within]]</f>
        <v>5031.678839715848</v>
      </c>
      <c r="S145" s="61">
        <f>Tabela816[[#This Row],[ESi ]]*Tabela816[[#This Row],[wi]]</f>
        <v>140.43760716909711</v>
      </c>
      <c r="T145" s="1">
        <f>Tabela816[[#This Row],[ESi ]]^2*Tabela816[[#This Row],[wi]]</f>
        <v>3.9197099289618866</v>
      </c>
      <c r="U145" s="60">
        <f>Tabela816[[#This Row],[wi]]^2</f>
        <v>25317791.946044222</v>
      </c>
      <c r="V145" s="59">
        <f>Tabela816[[#This Row],[Variance]]</f>
        <v>1.9874082425667546E-4</v>
      </c>
      <c r="W145" s="59">
        <f t="shared" si="3"/>
        <v>3.3034188455158129E-4</v>
      </c>
      <c r="X145" s="59">
        <f>Tabela816[[#This Row],[Variance within2]]+Tabela816[[#This Row],[Variance between]]</f>
        <v>5.2908270880825672E-4</v>
      </c>
      <c r="Y145" s="60">
        <f>1/Tabela816[[#This Row],[Variance total]]</f>
        <v>1890.0636580100504</v>
      </c>
      <c r="Z145" s="62">
        <f>Tabela816[[#This Row],[ESi ]]*Tabela816[[#This Row],[wi'']]</f>
        <v>52.752972910964253</v>
      </c>
    </row>
    <row r="146" spans="12:26" x14ac:dyDescent="0.2">
      <c r="L146" s="8" t="s">
        <v>120</v>
      </c>
      <c r="M146" s="9" t="s">
        <v>17</v>
      </c>
      <c r="N146" s="2" t="s">
        <v>48</v>
      </c>
      <c r="O146" s="1">
        <f>VLOOKUP(Tabela816[[#This Row],[ID]],Tabela58[],9,0)</f>
        <v>5.1042810098792524E-2</v>
      </c>
      <c r="P146" s="59">
        <f>VLOOKUP(Tabela816[[#This Row],[ID]],Tabela58[],10,0)</f>
        <v>2.7156381068849464E-4</v>
      </c>
      <c r="Q146" s="59">
        <f>Tabela816[[#This Row],[Variance]]</f>
        <v>2.7156381068849464E-4</v>
      </c>
      <c r="R146" s="60">
        <f>1/Tabela816[[#This Row],[Variance within]]</f>
        <v>3682.375782931842</v>
      </c>
      <c r="S146" s="61">
        <f>Tabela816[[#This Row],[ESi ]]*Tabela816[[#This Row],[wi]]</f>
        <v>187.95880780058246</v>
      </c>
      <c r="T146" s="1">
        <f>Tabela816[[#This Row],[ESi ]]^2*Tabela816[[#This Row],[wi]]</f>
        <v>9.593945732960572</v>
      </c>
      <c r="U146" s="60">
        <f>Tabela816[[#This Row],[wi]]^2</f>
        <v>13559891.406722896</v>
      </c>
      <c r="V146" s="59">
        <f>Tabela816[[#This Row],[Variance]]</f>
        <v>2.7156381068849464E-4</v>
      </c>
      <c r="W146" s="59">
        <f t="shared" si="3"/>
        <v>3.3034188455158129E-4</v>
      </c>
      <c r="X146" s="59">
        <f>Tabela816[[#This Row],[Variance within2]]+Tabela816[[#This Row],[Variance between]]</f>
        <v>6.0190569524007592E-4</v>
      </c>
      <c r="Y146" s="60">
        <f>1/Tabela816[[#This Row],[Variance total]]</f>
        <v>1661.3898288520768</v>
      </c>
      <c r="Z146" s="62">
        <f>Tabela816[[#This Row],[ESi ]]*Tabela816[[#This Row],[wi'']]</f>
        <v>84.802005534161964</v>
      </c>
    </row>
    <row r="147" spans="12:26" x14ac:dyDescent="0.2">
      <c r="L147" s="8" t="s">
        <v>121</v>
      </c>
      <c r="M147" s="9" t="s">
        <v>17</v>
      </c>
      <c r="N147" s="2" t="s">
        <v>48</v>
      </c>
      <c r="O147" s="1">
        <f>VLOOKUP(Tabela816[[#This Row],[ID]],Tabela58[],9,0)</f>
        <v>-8.0066489033538413E-3</v>
      </c>
      <c r="P147" s="59">
        <f>VLOOKUP(Tabela816[[#This Row],[ID]],Tabela58[],10,0)</f>
        <v>2.7495697862853517E-4</v>
      </c>
      <c r="Q147" s="59">
        <f>Tabela816[[#This Row],[Variance]]</f>
        <v>2.7495697862853517E-4</v>
      </c>
      <c r="R147" s="60">
        <f>1/Tabela816[[#This Row],[Variance within]]</f>
        <v>3636.9326030127518</v>
      </c>
      <c r="S147" s="61">
        <f>Tabela816[[#This Row],[ESi ]]*Tabela816[[#This Row],[wi]]</f>
        <v>-29.119642437483879</v>
      </c>
      <c r="T147" s="1">
        <f>Tabela816[[#This Row],[ESi ]]^2*Tabela816[[#This Row],[wi]]</f>
        <v>0.2331507531881363</v>
      </c>
      <c r="U147" s="60">
        <f>Tabela816[[#This Row],[wi]]^2</f>
        <v>13227278.758857111</v>
      </c>
      <c r="V147" s="59">
        <f>Tabela816[[#This Row],[Variance]]</f>
        <v>2.7495697862853517E-4</v>
      </c>
      <c r="W147" s="59">
        <f t="shared" si="3"/>
        <v>3.3034188455158129E-4</v>
      </c>
      <c r="X147" s="59">
        <f>Tabela816[[#This Row],[Variance within2]]+Tabela816[[#This Row],[Variance between]]</f>
        <v>6.0529886318011646E-4</v>
      </c>
      <c r="Y147" s="60">
        <f>1/Tabela816[[#This Row],[Variance total]]</f>
        <v>1652.0764548378704</v>
      </c>
      <c r="Z147" s="62">
        <f>Tabela816[[#This Row],[ESi ]]*Tabela816[[#This Row],[wi'']]</f>
        <v>-13.227596135384337</v>
      </c>
    </row>
    <row r="148" spans="12:26" x14ac:dyDescent="0.2">
      <c r="L148" s="8" t="s">
        <v>122</v>
      </c>
      <c r="M148" s="9" t="s">
        <v>17</v>
      </c>
      <c r="N148" s="2" t="s">
        <v>48</v>
      </c>
      <c r="O148" s="1">
        <f>VLOOKUP(Tabela816[[#This Row],[ID]],Tabela58[],9,0)</f>
        <v>-3.8305484135385259E-3</v>
      </c>
      <c r="P148" s="59">
        <f>VLOOKUP(Tabela816[[#This Row],[ID]],Tabela58[],10,0)</f>
        <v>2.965424992868939E-4</v>
      </c>
      <c r="Q148" s="59">
        <f>Tabela816[[#This Row],[Variance]]</f>
        <v>2.965424992868939E-4</v>
      </c>
      <c r="R148" s="60">
        <f>1/Tabela816[[#This Row],[Variance within]]</f>
        <v>3372.1979224048318</v>
      </c>
      <c r="S148" s="61">
        <f>Tabela816[[#This Row],[ESi ]]*Tabela816[[#This Row],[wi]]</f>
        <v>-12.917367401805741</v>
      </c>
      <c r="T148" s="1">
        <f>Tabela816[[#This Row],[ESi ]]^2*Tabela816[[#This Row],[wi]]</f>
        <v>4.948060120808126E-2</v>
      </c>
      <c r="U148" s="60">
        <f>Tabela816[[#This Row],[wi]]^2</f>
        <v>11371718.827871464</v>
      </c>
      <c r="V148" s="59">
        <f>Tabela816[[#This Row],[Variance]]</f>
        <v>2.965424992868939E-4</v>
      </c>
      <c r="W148" s="59">
        <f t="shared" si="3"/>
        <v>3.3034188455158129E-4</v>
      </c>
      <c r="X148" s="59">
        <f>Tabela816[[#This Row],[Variance within2]]+Tabela816[[#This Row],[Variance between]]</f>
        <v>6.2688438383847519E-4</v>
      </c>
      <c r="Y148" s="60">
        <f>1/Tabela816[[#This Row],[Variance total]]</f>
        <v>1595.1904781498956</v>
      </c>
      <c r="Z148" s="62">
        <f>Tabela816[[#This Row],[ESi ]]*Tabela816[[#This Row],[wi'']]</f>
        <v>-6.1104543553688453</v>
      </c>
    </row>
    <row r="149" spans="12:26" x14ac:dyDescent="0.2">
      <c r="L149" s="8" t="s">
        <v>123</v>
      </c>
      <c r="M149" s="9" t="s">
        <v>17</v>
      </c>
      <c r="N149" s="2" t="s">
        <v>48</v>
      </c>
      <c r="O149" s="1">
        <f>VLOOKUP(Tabela816[[#This Row],[ID]],Tabela58[],9,0)</f>
        <v>-1.1319712865819509E-2</v>
      </c>
      <c r="P149" s="59">
        <f>VLOOKUP(Tabela816[[#This Row],[ID]],Tabela58[],10,0)</f>
        <v>2.7579675949297505E-4</v>
      </c>
      <c r="Q149" s="59">
        <f>Tabela816[[#This Row],[Variance]]</f>
        <v>2.7579675949297505E-4</v>
      </c>
      <c r="R149" s="60">
        <f>1/Tabela816[[#This Row],[Variance within]]</f>
        <v>3625.8584105135997</v>
      </c>
      <c r="S149" s="61">
        <f>Tabela816[[#This Row],[ESi ]]*Tabela816[[#This Row],[wi]]</f>
        <v>-41.043676099130671</v>
      </c>
      <c r="T149" s="1">
        <f>Tabela816[[#This Row],[ESi ]]^2*Tabela816[[#This Row],[wi]]</f>
        <v>0.46460262839985811</v>
      </c>
      <c r="U149" s="60">
        <f>Tabela816[[#This Row],[wi]]^2</f>
        <v>13146849.213092208</v>
      </c>
      <c r="V149" s="59">
        <f>Tabela816[[#This Row],[Variance]]</f>
        <v>2.7579675949297505E-4</v>
      </c>
      <c r="W149" s="59">
        <f t="shared" si="3"/>
        <v>3.3034188455158129E-4</v>
      </c>
      <c r="X149" s="59">
        <f>Tabela816[[#This Row],[Variance within2]]+Tabela816[[#This Row],[Variance between]]</f>
        <v>6.0613864404455639E-4</v>
      </c>
      <c r="Y149" s="60">
        <f>1/Tabela816[[#This Row],[Variance total]]</f>
        <v>1649.7875689418863</v>
      </c>
      <c r="Z149" s="62">
        <f>Tabela816[[#This Row],[ESi ]]*Tabela816[[#This Row],[wi'']]</f>
        <v>-18.675121570020561</v>
      </c>
    </row>
    <row r="150" spans="12:26" x14ac:dyDescent="0.2">
      <c r="L150" s="8" t="s">
        <v>124</v>
      </c>
      <c r="M150" s="9" t="s">
        <v>17</v>
      </c>
      <c r="N150" s="2" t="s">
        <v>48</v>
      </c>
      <c r="O150" s="1">
        <f>VLOOKUP(Tabela816[[#This Row],[ID]],Tabela58[],9,0)</f>
        <v>-2.3529411764696695E-3</v>
      </c>
      <c r="P150" s="59">
        <f>VLOOKUP(Tabela816[[#This Row],[ID]],Tabela58[],10,0)</f>
        <v>2.9411113372684714E-4</v>
      </c>
      <c r="Q150" s="59">
        <f>Tabela816[[#This Row],[Variance]]</f>
        <v>2.9411113372684714E-4</v>
      </c>
      <c r="R150" s="60">
        <f>1/Tabela816[[#This Row],[Variance within]]</f>
        <v>3400.0752957850968</v>
      </c>
      <c r="S150" s="61">
        <f>Tabela816[[#This Row],[ESi ]]*Tabela816[[#This Row],[wi]]</f>
        <v>-8.0001771665500456</v>
      </c>
      <c r="T150" s="1">
        <f>Tabela816[[#This Row],[ESi ]]^2*Tabela816[[#This Row],[wi]]</f>
        <v>1.8823946274228051E-2</v>
      </c>
      <c r="U150" s="60">
        <f>Tabela816[[#This Row],[wi]]^2</f>
        <v>11560512.017008115</v>
      </c>
      <c r="V150" s="59">
        <f>Tabela816[[#This Row],[Variance]]</f>
        <v>2.9411113372684714E-4</v>
      </c>
      <c r="W150" s="59">
        <f t="shared" si="3"/>
        <v>3.3034188455158129E-4</v>
      </c>
      <c r="X150" s="59">
        <f>Tabela816[[#This Row],[Variance within2]]+Tabela816[[#This Row],[Variance between]]</f>
        <v>6.2445301827842843E-4</v>
      </c>
      <c r="Y150" s="60">
        <f>1/Tabela816[[#This Row],[Variance total]]</f>
        <v>1601.4014997588247</v>
      </c>
      <c r="Z150" s="62">
        <f>Tabela816[[#This Row],[ESi ]]*Tabela816[[#This Row],[wi'']]</f>
        <v>-3.7680035288428222</v>
      </c>
    </row>
    <row r="151" spans="12:26" x14ac:dyDescent="0.2">
      <c r="L151" s="8" t="s">
        <v>125</v>
      </c>
      <c r="M151" s="9" t="s">
        <v>17</v>
      </c>
      <c r="N151" s="2" t="s">
        <v>48</v>
      </c>
      <c r="O151" s="1">
        <f>VLOOKUP(Tabela816[[#This Row],[ID]],Tabela58[],9,0)</f>
        <v>2.7631578947368562E-2</v>
      </c>
      <c r="P151" s="59">
        <f>VLOOKUP(Tabela816[[#This Row],[ID]],Tabela58[],10,0)</f>
        <v>2.7298630432078349E-4</v>
      </c>
      <c r="Q151" s="59">
        <f>Tabela816[[#This Row],[Variance]]</f>
        <v>2.7298630432078349E-4</v>
      </c>
      <c r="R151" s="60">
        <f>1/Tabela816[[#This Row],[Variance within]]</f>
        <v>3663.1874353114431</v>
      </c>
      <c r="S151" s="61">
        <f>Tabela816[[#This Row],[ESi ]]*Tabela816[[#This Row],[wi]]</f>
        <v>101.21965281781671</v>
      </c>
      <c r="T151" s="1">
        <f>Tabela816[[#This Row],[ESi ]]^2*Tabela816[[#This Row],[wi]]</f>
        <v>2.7968588278607389</v>
      </c>
      <c r="U151" s="60">
        <f>Tabela816[[#This Row],[wi]]^2</f>
        <v>13418942.186223628</v>
      </c>
      <c r="V151" s="59">
        <f>Tabela816[[#This Row],[Variance]]</f>
        <v>2.7298630432078349E-4</v>
      </c>
      <c r="W151" s="59">
        <f t="shared" si="3"/>
        <v>3.3034188455158129E-4</v>
      </c>
      <c r="X151" s="59">
        <f>Tabela816[[#This Row],[Variance within2]]+Tabela816[[#This Row],[Variance between]]</f>
        <v>6.0332818887236478E-4</v>
      </c>
      <c r="Y151" s="60">
        <f>1/Tabela816[[#This Row],[Variance total]]</f>
        <v>1657.4726963595463</v>
      </c>
      <c r="Z151" s="62">
        <f>Tabela816[[#This Row],[ESi ]]*Tabela816[[#This Row],[wi'']]</f>
        <v>45.798587662566646</v>
      </c>
    </row>
    <row r="152" spans="12:26" x14ac:dyDescent="0.2">
      <c r="L152" s="8" t="s">
        <v>140</v>
      </c>
      <c r="M152" s="9" t="s">
        <v>20</v>
      </c>
      <c r="N152" s="2" t="s">
        <v>48</v>
      </c>
      <c r="O152" s="1">
        <f>VLOOKUP(Tabela816[[#This Row],[ID]],Tabela58[],9,0)</f>
        <v>4.4923960922432782E-3</v>
      </c>
      <c r="P152" s="59">
        <f>VLOOKUP(Tabela816[[#This Row],[ID]],Tabela58[],10,0)</f>
        <v>4.2878184970386005E-4</v>
      </c>
      <c r="Q152" s="59">
        <f>Tabela816[[#This Row],[Variance]]</f>
        <v>4.2878184970386005E-4</v>
      </c>
      <c r="R152" s="60">
        <f>1/Tabela816[[#This Row],[Variance within]]</f>
        <v>2332.1882693744014</v>
      </c>
      <c r="S152" s="61">
        <f>Tabela816[[#This Row],[ESi ]]*Tabela816[[#This Row],[wi]]</f>
        <v>10.477113467713174</v>
      </c>
      <c r="T152" s="1">
        <f>Tabela816[[#This Row],[ESi ]]^2*Tabela816[[#This Row],[wi]]</f>
        <v>4.7067343600344085E-2</v>
      </c>
      <c r="U152" s="60">
        <f>Tabela816[[#This Row],[wi]]^2</f>
        <v>5439102.1238075653</v>
      </c>
      <c r="V152" s="59">
        <f>Tabela816[[#This Row],[Variance]]</f>
        <v>4.2878184970386005E-4</v>
      </c>
      <c r="W152" s="59">
        <f t="shared" si="3"/>
        <v>3.3034188455158129E-4</v>
      </c>
      <c r="X152" s="59">
        <f>Tabela816[[#This Row],[Variance within2]]+Tabela816[[#This Row],[Variance between]]</f>
        <v>7.5912373425544139E-4</v>
      </c>
      <c r="Y152" s="60">
        <f>1/Tabela816[[#This Row],[Variance total]]</f>
        <v>1317.3083054514336</v>
      </c>
      <c r="Z152" s="62">
        <f>Tabela816[[#This Row],[ESi ]]*Tabela816[[#This Row],[wi'']]</f>
        <v>5.9178706836896353</v>
      </c>
    </row>
    <row r="153" spans="12:26" x14ac:dyDescent="0.2">
      <c r="L153" s="8" t="s">
        <v>141</v>
      </c>
      <c r="M153" s="9" t="s">
        <v>20</v>
      </c>
      <c r="N153" s="2" t="s">
        <v>48</v>
      </c>
      <c r="O153" s="1">
        <f>VLOOKUP(Tabela816[[#This Row],[ID]],Tabela58[],9,0)</f>
        <v>4.9609449463023259E-2</v>
      </c>
      <c r="P153" s="59">
        <f>VLOOKUP(Tabela816[[#This Row],[ID]],Tabela58[],10,0)</f>
        <v>3.1533618155920473E-4</v>
      </c>
      <c r="Q153" s="59">
        <f>Tabela816[[#This Row],[Variance]]</f>
        <v>3.1533618155920473E-4</v>
      </c>
      <c r="R153" s="60">
        <f>1/Tabela816[[#This Row],[Variance within]]</f>
        <v>3171.2187134867327</v>
      </c>
      <c r="S153" s="61">
        <f>Tabela816[[#This Row],[ESi ]]*Tabela816[[#This Row],[wi]]</f>
        <v>157.32241450291369</v>
      </c>
      <c r="T153" s="1">
        <f>Tabela816[[#This Row],[ESi ]]^2*Tabela816[[#This Row],[wi]]</f>
        <v>7.804678371683095</v>
      </c>
      <c r="U153" s="60">
        <f>Tabela816[[#This Row],[wi]]^2</f>
        <v>10056628.128768448</v>
      </c>
      <c r="V153" s="59">
        <f>Tabela816[[#This Row],[Variance]]</f>
        <v>3.1533618155920473E-4</v>
      </c>
      <c r="W153" s="59">
        <f t="shared" si="3"/>
        <v>3.3034188455158129E-4</v>
      </c>
      <c r="X153" s="59">
        <f>Tabela816[[#This Row],[Variance within2]]+Tabela816[[#This Row],[Variance between]]</f>
        <v>6.4567806611078602E-4</v>
      </c>
      <c r="Y153" s="60">
        <f>1/Tabela816[[#This Row],[Variance total]]</f>
        <v>1548.7594398605745</v>
      </c>
      <c r="Z153" s="62">
        <f>Tabela816[[#This Row],[ESi ]]*Tabela816[[#This Row],[wi'']]</f>
        <v>76.833103162143374</v>
      </c>
    </row>
    <row r="154" spans="12:26" x14ac:dyDescent="0.2">
      <c r="L154" s="8" t="s">
        <v>142</v>
      </c>
      <c r="M154" s="9" t="s">
        <v>20</v>
      </c>
      <c r="N154" s="2" t="s">
        <v>48</v>
      </c>
      <c r="O154" s="1">
        <f>VLOOKUP(Tabela816[[#This Row],[ID]],Tabela58[],9,0)</f>
        <v>5.0760597244608574E-2</v>
      </c>
      <c r="P154" s="59">
        <f>VLOOKUP(Tabela816[[#This Row],[ID]],Tabela58[],10,0)</f>
        <v>2.780037772667086E-4</v>
      </c>
      <c r="Q154" s="59">
        <f>Tabela816[[#This Row],[Variance]]</f>
        <v>2.780037772667086E-4</v>
      </c>
      <c r="R154" s="60">
        <f>1/Tabela816[[#This Row],[Variance within]]</f>
        <v>3597.0734276773137</v>
      </c>
      <c r="S154" s="61">
        <f>Tabela816[[#This Row],[ESi ]]*Tabela816[[#This Row],[wi]]</f>
        <v>182.58959552161176</v>
      </c>
      <c r="T154" s="1">
        <f>Tabela816[[#This Row],[ESi ]]^2*Tabela816[[#This Row],[wi]]</f>
        <v>9.2683569193285216</v>
      </c>
      <c r="U154" s="60">
        <f>Tabela816[[#This Row],[wi]]^2</f>
        <v>12938937.244102219</v>
      </c>
      <c r="V154" s="59">
        <f>Tabela816[[#This Row],[Variance]]</f>
        <v>2.780037772667086E-4</v>
      </c>
      <c r="W154" s="59">
        <f t="shared" si="3"/>
        <v>3.3034188455158129E-4</v>
      </c>
      <c r="X154" s="59">
        <f>Tabela816[[#This Row],[Variance within2]]+Tabela816[[#This Row],[Variance between]]</f>
        <v>6.0834566181828989E-4</v>
      </c>
      <c r="Y154" s="60">
        <f>1/Tabela816[[#This Row],[Variance total]]</f>
        <v>1643.8023031364946</v>
      </c>
      <c r="Z154" s="62">
        <f>Tabela816[[#This Row],[ESi ]]*Tabela816[[#This Row],[wi'']]</f>
        <v>83.440386659271581</v>
      </c>
    </row>
    <row r="155" spans="12:26" x14ac:dyDescent="0.2">
      <c r="L155" s="8" t="s">
        <v>143</v>
      </c>
      <c r="M155" s="9" t="s">
        <v>20</v>
      </c>
      <c r="N155" s="2" t="s">
        <v>48</v>
      </c>
      <c r="O155" s="1">
        <f>VLOOKUP(Tabela816[[#This Row],[ID]],Tabela58[],9,0)</f>
        <v>3.9404738561916508E-2</v>
      </c>
      <c r="P155" s="59">
        <f>VLOOKUP(Tabela816[[#This Row],[ID]],Tabela58[],10,0)</f>
        <v>2.7093485995514395E-4</v>
      </c>
      <c r="Q155" s="59">
        <f>Tabela816[[#This Row],[Variance]]</f>
        <v>2.7093485995514395E-4</v>
      </c>
      <c r="R155" s="60">
        <f>1/Tabela816[[#This Row],[Variance within]]</f>
        <v>3690.924084724868</v>
      </c>
      <c r="S155" s="61">
        <f>Tabela816[[#This Row],[ESi ]]*Tabela816[[#This Row],[wi]]</f>
        <v>145.43989861046441</v>
      </c>
      <c r="T155" s="1">
        <f>Tabela816[[#This Row],[ESi ]]^2*Tabela816[[#This Row],[wi]]</f>
        <v>5.7310211812169936</v>
      </c>
      <c r="U155" s="60">
        <f>Tabela816[[#This Row],[wi]]^2</f>
        <v>13622920.599202104</v>
      </c>
      <c r="V155" s="59">
        <f>Tabela816[[#This Row],[Variance]]</f>
        <v>2.7093485995514395E-4</v>
      </c>
      <c r="W155" s="59">
        <f t="shared" si="3"/>
        <v>3.3034188455158129E-4</v>
      </c>
      <c r="X155" s="59">
        <f>Tabela816[[#This Row],[Variance within2]]+Tabela816[[#This Row],[Variance between]]</f>
        <v>6.0127674450672524E-4</v>
      </c>
      <c r="Y155" s="60">
        <f>1/Tabela816[[#This Row],[Variance total]]</f>
        <v>1663.1276847741367</v>
      </c>
      <c r="Z155" s="62">
        <f>Tabela816[[#This Row],[ESi ]]*Tabela816[[#This Row],[wi'']]</f>
        <v>65.53511161361034</v>
      </c>
    </row>
    <row r="156" spans="12:26" x14ac:dyDescent="0.2">
      <c r="L156" s="8" t="s">
        <v>144</v>
      </c>
      <c r="M156" s="9" t="s">
        <v>20</v>
      </c>
      <c r="N156" s="2" t="s">
        <v>48</v>
      </c>
      <c r="O156" s="1">
        <f>VLOOKUP(Tabela816[[#This Row],[ID]],Tabela58[],9,0)</f>
        <v>2.5401440067505332E-2</v>
      </c>
      <c r="P156" s="59">
        <f>VLOOKUP(Tabela816[[#This Row],[ID]],Tabela58[],10,0)</f>
        <v>2.8628561061136274E-4</v>
      </c>
      <c r="Q156" s="59">
        <f>Tabela816[[#This Row],[Variance]]</f>
        <v>2.8628561061136274E-4</v>
      </c>
      <c r="R156" s="60">
        <f>1/Tabela816[[#This Row],[Variance within]]</f>
        <v>3493.0152370023093</v>
      </c>
      <c r="S156" s="61">
        <f>Tabela816[[#This Row],[ESi ]]*Tabela816[[#This Row],[wi]]</f>
        <v>88.727617197597098</v>
      </c>
      <c r="T156" s="1">
        <f>Tabela816[[#This Row],[ESi ]]^2*Tabela816[[#This Row],[wi]]</f>
        <v>2.253809250577318</v>
      </c>
      <c r="U156" s="60">
        <f>Tabela816[[#This Row],[wi]]^2</f>
        <v>12201155.445930298</v>
      </c>
      <c r="V156" s="59">
        <f>Tabela816[[#This Row],[Variance]]</f>
        <v>2.8628561061136274E-4</v>
      </c>
      <c r="W156" s="59">
        <f t="shared" si="3"/>
        <v>3.3034188455158129E-4</v>
      </c>
      <c r="X156" s="59">
        <f>Tabela816[[#This Row],[Variance within2]]+Tabela816[[#This Row],[Variance between]]</f>
        <v>6.1662749516294408E-4</v>
      </c>
      <c r="Y156" s="60">
        <f>1/Tabela816[[#This Row],[Variance total]]</f>
        <v>1621.7246357717954</v>
      </c>
      <c r="Z156" s="62">
        <f>Tabela816[[#This Row],[ESi ]]*Tabela816[[#This Row],[wi'']]</f>
        <v>41.194141141554176</v>
      </c>
    </row>
    <row r="157" spans="12:26" x14ac:dyDescent="0.2">
      <c r="L157" s="8" t="s">
        <v>145</v>
      </c>
      <c r="M157" s="9" t="s">
        <v>20</v>
      </c>
      <c r="N157" s="2" t="s">
        <v>48</v>
      </c>
      <c r="O157" s="1">
        <f>VLOOKUP(Tabela816[[#This Row],[ID]],Tabela58[],9,0)</f>
        <v>5.2148907904526975E-2</v>
      </c>
      <c r="P157" s="59">
        <f>VLOOKUP(Tabela816[[#This Row],[ID]],Tabela58[],10,0)</f>
        <v>3.1380773020858526E-4</v>
      </c>
      <c r="Q157" s="59">
        <f>Tabela816[[#This Row],[Variance]]</f>
        <v>3.1380773020858526E-4</v>
      </c>
      <c r="R157" s="60">
        <f>1/Tabela816[[#This Row],[Variance within]]</f>
        <v>3186.6646476022397</v>
      </c>
      <c r="S157" s="61">
        <f>Tabela816[[#This Row],[ESi ]]*Tabela816[[#This Row],[wi]]</f>
        <v>166.18108123042111</v>
      </c>
      <c r="T157" s="1">
        <f>Tabela816[[#This Row],[ESi ]]^2*Tabela816[[#This Row],[wi]]</f>
        <v>8.6661619005599473</v>
      </c>
      <c r="U157" s="60">
        <f>Tabela816[[#This Row],[wi]]^2</f>
        <v>10154831.576277906</v>
      </c>
      <c r="V157" s="59">
        <f>Tabela816[[#This Row],[Variance]]</f>
        <v>3.1380773020858526E-4</v>
      </c>
      <c r="W157" s="59">
        <f t="shared" si="3"/>
        <v>3.3034188455158129E-4</v>
      </c>
      <c r="X157" s="59">
        <f>Tabela816[[#This Row],[Variance within2]]+Tabela816[[#This Row],[Variance between]]</f>
        <v>6.4414961476016649E-4</v>
      </c>
      <c r="Y157" s="60">
        <f>1/Tabela816[[#This Row],[Variance total]]</f>
        <v>1552.4343678639407</v>
      </c>
      <c r="Z157" s="62">
        <f>Tabela816[[#This Row],[ESi ]]*Tabela816[[#This Row],[wi'']]</f>
        <v>80.957756877559191</v>
      </c>
    </row>
    <row r="158" spans="12:26" x14ac:dyDescent="0.2">
      <c r="L158" s="16" t="s">
        <v>146</v>
      </c>
      <c r="M158" s="17" t="s">
        <v>20</v>
      </c>
      <c r="N158" s="63" t="s">
        <v>48</v>
      </c>
      <c r="O158" s="64">
        <f>VLOOKUP(Tabela816[[#This Row],[ID]],Tabela58[],9,0)</f>
        <v>-3.4622084720383584E-2</v>
      </c>
      <c r="P158" s="65">
        <f>VLOOKUP(Tabela816[[#This Row],[ID]],Tabela58[],10,0)</f>
        <v>5.1193685442307521E-4</v>
      </c>
      <c r="Q158" s="65">
        <f>Tabela816[[#This Row],[Variance]]</f>
        <v>5.1193685442307521E-4</v>
      </c>
      <c r="R158" s="66">
        <f>1/Tabela816[[#This Row],[Variance within]]</f>
        <v>1953.3659109714717</v>
      </c>
      <c r="S158" s="67">
        <f>Tabela816[[#This Row],[ESi ]]*Tabela816[[#This Row],[wi]]</f>
        <v>-67.629600059563558</v>
      </c>
      <c r="T158" s="64">
        <f>Tabela816[[#This Row],[ESi ]]^2*Tabela816[[#This Row],[wi]]</f>
        <v>2.3414777428678679</v>
      </c>
      <c r="U158" s="66">
        <f>Tabela816[[#This Row],[wi]]^2</f>
        <v>3815638.3821454076</v>
      </c>
      <c r="V158" s="65">
        <f>Tabela816[[#This Row],[Variance]]</f>
        <v>5.1193685442307521E-4</v>
      </c>
      <c r="W158" s="65">
        <f t="shared" si="3"/>
        <v>3.3034188455158129E-4</v>
      </c>
      <c r="X158" s="65">
        <f>Tabela816[[#This Row],[Variance within2]]+Tabela816[[#This Row],[Variance between]]</f>
        <v>8.4227873897465655E-4</v>
      </c>
      <c r="Y158" s="66">
        <f>1/Tabela816[[#This Row],[Variance total]]</f>
        <v>1187.2554223763793</v>
      </c>
      <c r="Z158" s="68">
        <f>Tabela816[[#This Row],[ESi ]]*Tabela816[[#This Row],[wi'']]</f>
        <v>-41.105257818249804</v>
      </c>
    </row>
    <row r="159" spans="12:26" x14ac:dyDescent="0.2">
      <c r="L159" s="39" t="s">
        <v>204</v>
      </c>
      <c r="M159" s="40"/>
      <c r="N159" s="63"/>
      <c r="O159" s="63"/>
      <c r="P159" s="63"/>
      <c r="Q159" s="63"/>
      <c r="R159" s="66">
        <f>SUBTOTAL(109,Tabela816[wi])</f>
        <v>176013.41485589099</v>
      </c>
      <c r="S159" s="67">
        <f>SUBTOTAL(109,Tabela816[ESi*wi])</f>
        <v>2422.4645721781144</v>
      </c>
      <c r="T159" s="64">
        <f>SUBTOTAL(109,Tabela816[ESi^2*wi])</f>
        <v>143.35371397275452</v>
      </c>
      <c r="U159" s="66">
        <f>SUBTOTAL(109,Tabela816[wi^2])</f>
        <v>602705956.70339227</v>
      </c>
      <c r="V159" s="63"/>
      <c r="W159" s="63"/>
      <c r="X159" s="63"/>
      <c r="Y159" s="66">
        <f>SUBTOTAL(109,Tabela816[wi''])</f>
        <v>83254.222231957174</v>
      </c>
      <c r="Z159" s="68">
        <f>SUBTOTAL(109,Tabela816[ESi*wi''])</f>
        <v>1100.5446489871454</v>
      </c>
    </row>
    <row r="161" spans="17:26" ht="17" thickBot="1" x14ac:dyDescent="0.25"/>
    <row r="162" spans="17:26" ht="17" thickBot="1" x14ac:dyDescent="0.25">
      <c r="Q162" s="71" t="s">
        <v>205</v>
      </c>
      <c r="R162" s="72"/>
      <c r="S162" s="73"/>
      <c r="T162" s="71" t="s">
        <v>206</v>
      </c>
      <c r="U162" s="73"/>
      <c r="X162" s="71" t="s">
        <v>207</v>
      </c>
      <c r="Y162" s="72"/>
      <c r="Z162" s="73"/>
    </row>
    <row r="163" spans="17:26" x14ac:dyDescent="0.2">
      <c r="Q163" s="48" t="s">
        <v>208</v>
      </c>
      <c r="R163" s="49"/>
      <c r="S163" s="55">
        <f>S159/R159</f>
        <v>1.3762954228014268E-2</v>
      </c>
      <c r="T163" s="48" t="s">
        <v>209</v>
      </c>
      <c r="U163" s="50">
        <f>T159-S159^2/R159</f>
        <v>110.01344494688097</v>
      </c>
      <c r="X163" s="48" t="s">
        <v>208</v>
      </c>
      <c r="Y163" s="49"/>
      <c r="Z163" s="55">
        <f>Z159/Y159</f>
        <v>1.3219085104427302E-2</v>
      </c>
    </row>
    <row r="164" spans="17:26" x14ac:dyDescent="0.2">
      <c r="Q164" s="48" t="s">
        <v>193</v>
      </c>
      <c r="R164" s="49"/>
      <c r="S164" s="51">
        <f>1/R159</f>
        <v>5.6813851422559963E-6</v>
      </c>
      <c r="T164" s="48" t="s">
        <v>210</v>
      </c>
      <c r="U164" s="50">
        <f>ROWS(Tabela816[ID])</f>
        <v>53</v>
      </c>
      <c r="X164" s="48" t="s">
        <v>193</v>
      </c>
      <c r="Y164" s="49"/>
      <c r="Z164" s="52">
        <f>1/Y159</f>
        <v>1.2011402823677446E-5</v>
      </c>
    </row>
    <row r="165" spans="17:26" x14ac:dyDescent="0.2">
      <c r="Q165" s="48" t="s">
        <v>211</v>
      </c>
      <c r="R165" s="49"/>
      <c r="S165" s="55">
        <f>SQRT(S164)</f>
        <v>2.3835656362382798E-3</v>
      </c>
      <c r="T165" s="48" t="s">
        <v>212</v>
      </c>
      <c r="U165" s="50">
        <f>MAX(U163-U164,0)</f>
        <v>57.013444946880966</v>
      </c>
      <c r="X165" s="48" t="s">
        <v>211</v>
      </c>
      <c r="Y165" s="49"/>
      <c r="Z165" s="55">
        <f>SQRT(Z164)</f>
        <v>3.4657470801657533E-3</v>
      </c>
    </row>
    <row r="166" spans="17:26" x14ac:dyDescent="0.2">
      <c r="Q166" s="48" t="s">
        <v>213</v>
      </c>
      <c r="R166" s="49"/>
      <c r="S166" s="53">
        <f>S163-1.96*S165</f>
        <v>9.0911655809872392E-3</v>
      </c>
      <c r="T166" s="48" t="s">
        <v>214</v>
      </c>
      <c r="U166" s="50">
        <f>R159-U159/R159</f>
        <v>172589.21018832715</v>
      </c>
      <c r="X166" s="48" t="s">
        <v>213</v>
      </c>
      <c r="Y166" s="49"/>
      <c r="Z166" s="55">
        <f>Z163-1.96*Z165</f>
        <v>6.4262208273024261E-3</v>
      </c>
    </row>
    <row r="167" spans="17:26" x14ac:dyDescent="0.2">
      <c r="Q167" s="48" t="s">
        <v>215</v>
      </c>
      <c r="R167" s="49"/>
      <c r="S167" s="53">
        <f>S163+1.96*S165</f>
        <v>1.8434742875041297E-2</v>
      </c>
      <c r="T167" s="48" t="s">
        <v>216</v>
      </c>
      <c r="U167" s="54">
        <f>U165/U166</f>
        <v>3.3034188455158129E-4</v>
      </c>
      <c r="X167" s="48" t="s">
        <v>215</v>
      </c>
      <c r="Y167" s="49"/>
      <c r="Z167" s="55">
        <f>Z163+1.96*Z165</f>
        <v>2.001194938155218E-2</v>
      </c>
    </row>
    <row r="168" spans="17:26" x14ac:dyDescent="0.2">
      <c r="Q168" s="48" t="s">
        <v>217</v>
      </c>
      <c r="R168" s="49"/>
      <c r="S168" s="69">
        <f>S163/S165</f>
        <v>5.7741033092484209</v>
      </c>
      <c r="T168" s="48"/>
      <c r="U168" s="50"/>
      <c r="X168" s="48" t="s">
        <v>217</v>
      </c>
      <c r="Y168" s="49"/>
      <c r="Z168" s="69">
        <f>Z163/Z165</f>
        <v>3.8142094038192438</v>
      </c>
    </row>
    <row r="169" spans="17:26" ht="17" thickBot="1" x14ac:dyDescent="0.25">
      <c r="Q169" s="56" t="s">
        <v>218</v>
      </c>
      <c r="R169" s="57"/>
      <c r="S169" s="70">
        <f>(1-(NORMDIST(ABS(S168),0,1,TRUE)))*2</f>
        <v>7.7363961903387235E-9</v>
      </c>
      <c r="T169" s="56"/>
      <c r="U169" s="58"/>
      <c r="X169" s="56" t="s">
        <v>218</v>
      </c>
      <c r="Y169" s="57"/>
      <c r="Z169" s="70">
        <f>(1-(NORMDIST(ABS(Z168),0,1,TRUE)))*2</f>
        <v>1.3661959014843461E-4</v>
      </c>
    </row>
  </sheetData>
  <mergeCells count="18">
    <mergeCell ref="A1:B1"/>
    <mergeCell ref="L1:M1"/>
    <mergeCell ref="Q162:S162"/>
    <mergeCell ref="T162:U162"/>
    <mergeCell ref="X162:Z162"/>
    <mergeCell ref="O2:Z2"/>
    <mergeCell ref="O3:P3"/>
    <mergeCell ref="Q3:S3"/>
    <mergeCell ref="T3:U3"/>
    <mergeCell ref="V3:Z3"/>
    <mergeCell ref="Q85:S85"/>
    <mergeCell ref="T85:U85"/>
    <mergeCell ref="X85:Z85"/>
    <mergeCell ref="O103:Z103"/>
    <mergeCell ref="O104:P104"/>
    <mergeCell ref="Q104:S104"/>
    <mergeCell ref="T104:U104"/>
    <mergeCell ref="V104:Z104"/>
  </mergeCells>
  <pageMargins left="0.7" right="0.7" top="0.75" bottom="0.75" header="0.3" footer="0.3"/>
  <pageSetup paperSize="9" orientation="portrait" horizontalDpi="0" verticalDpi="0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Microsoft Office</dc:creator>
  <cp:lastModifiedBy>Anonymous</cp:lastModifiedBy>
  <dcterms:created xsi:type="dcterms:W3CDTF">2017-01-19T10:11:24Z</dcterms:created>
  <dcterms:modified xsi:type="dcterms:W3CDTF">2019-08-22T19:05:44Z</dcterms:modified>
</cp:coreProperties>
</file>